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455" yWindow="105" windowWidth="9630" windowHeight="5805"/>
  </bookViews>
  <sheets>
    <sheet name="2012_Report" sheetId="3" r:id="rId1"/>
    <sheet name="2013 Revenue Report" sheetId="28" r:id="rId2"/>
    <sheet name="NameOfSchool (2)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'2012_Report'!$B$1:$N$55</definedName>
    <definedName name="_xlnm.Print_Area" localSheetId="2">'NameOfSchool (2)'!$A$41:$F$198</definedName>
    <definedName name="_xlnm.Print_Titles" localSheetId="0">'2012_Report'!$B:$B,'2012_Report'!$1:$1</definedName>
    <definedName name="Z_10C0A201_91C6_44DE_9B31_2C6A279EA534_.wvu.Cols" localSheetId="2" hidden="1">'NameOfSchool (2)'!$B:$D</definedName>
    <definedName name="Z_10C0A201_91C6_44DE_9B31_2C6A279EA534_.wvu.PrintArea" localSheetId="2" hidden="1">'NameOfSchool (2)'!$A$41:$F$198</definedName>
    <definedName name="Z_6EEFDAD9_138E_4109_B9A7_15E07E6D6D38_.wvu.Cols" localSheetId="2" hidden="1">'NameOfSchool (2)'!$B:$D</definedName>
    <definedName name="Z_6EEFDAD9_138E_4109_B9A7_15E07E6D6D38_.wvu.PrintArea" localSheetId="2" hidden="1">'NameOfSchool (2)'!$A$1:$G$39</definedName>
    <definedName name="Z_BBFAE678_1A93_488D_BAE5_DF1D26697A3A_.wvu.Cols" localSheetId="2" hidden="1">'NameOfSchool (2)'!$B:$D</definedName>
    <definedName name="Z_BBFAE678_1A93_488D_BAE5_DF1D26697A3A_.wvu.PrintArea" localSheetId="2" hidden="1">'NameOfSchool (2)'!$A$1:$G$39</definedName>
  </definedNames>
  <calcPr calcId="145621"/>
  <customWorkbookViews>
    <customWorkbookView name="Schedule 2-6" guid="{10C0A201-91C6-44DE-9B31-2C6A279EA534}" maximized="1" windowWidth="1362" windowHeight="459" activeSheetId="1"/>
    <customWorkbookView name="Schedule 1" guid="{6EEFDAD9-138E-4109-B9A7-15E07E6D6D38}" maximized="1" windowWidth="1362" windowHeight="459" activeSheetId="1"/>
    <customWorkbookView name="ThurgoodMarshall Schedule 1" guid="{BBFAE678-1A93-488D-BAE5-DF1D26697A3A}" maximized="1" windowWidth="1362" windowHeight="507" activeSheetId="4"/>
  </customWorkbookViews>
</workbook>
</file>

<file path=xl/calcChain.xml><?xml version="1.0" encoding="utf-8"?>
<calcChain xmlns="http://schemas.openxmlformats.org/spreadsheetml/2006/main">
  <c r="C59" i="28" l="1"/>
  <c r="G58" i="28"/>
  <c r="E58" i="28"/>
  <c r="H58" i="28" s="1"/>
  <c r="D58" i="28"/>
  <c r="B58" i="28"/>
  <c r="H57" i="28"/>
  <c r="G57" i="28"/>
  <c r="D57" i="28"/>
  <c r="B57" i="28"/>
  <c r="H56" i="28"/>
  <c r="G56" i="28"/>
  <c r="F56" i="28"/>
  <c r="D56" i="28"/>
  <c r="B56" i="28"/>
  <c r="H55" i="28"/>
  <c r="G54" i="28"/>
  <c r="D54" i="28"/>
  <c r="H54" i="28" s="1"/>
  <c r="B54" i="28"/>
  <c r="G53" i="28"/>
  <c r="D53" i="28"/>
  <c r="H53" i="28" s="1"/>
  <c r="B53" i="28"/>
  <c r="G52" i="28"/>
  <c r="F52" i="28"/>
  <c r="H52" i="28" s="1"/>
  <c r="D52" i="28"/>
  <c r="B52" i="28"/>
  <c r="G51" i="28"/>
  <c r="F51" i="28"/>
  <c r="E51" i="28"/>
  <c r="D51" i="28"/>
  <c r="H51" i="28" s="1"/>
  <c r="B51" i="28"/>
  <c r="H50" i="28"/>
  <c r="G50" i="28"/>
  <c r="B50" i="28"/>
  <c r="G49" i="28"/>
  <c r="F49" i="28"/>
  <c r="D49" i="28"/>
  <c r="H49" i="28" s="1"/>
  <c r="B49" i="28"/>
  <c r="G48" i="28"/>
  <c r="D48" i="28"/>
  <c r="H48" i="28" s="1"/>
  <c r="H47" i="28"/>
  <c r="G47" i="28"/>
  <c r="D47" i="28"/>
  <c r="B47" i="28"/>
  <c r="F46" i="28"/>
  <c r="G46" i="28" s="1"/>
  <c r="H46" i="28" s="1"/>
  <c r="B46" i="28"/>
  <c r="F45" i="28"/>
  <c r="G45" i="28" s="1"/>
  <c r="D45" i="28"/>
  <c r="B45" i="28"/>
  <c r="F44" i="28"/>
  <c r="D44" i="28"/>
  <c r="B44" i="28"/>
  <c r="G43" i="28"/>
  <c r="D43" i="28"/>
  <c r="H43" i="28" s="1"/>
  <c r="B43" i="28"/>
  <c r="G42" i="28"/>
  <c r="H42" i="28" s="1"/>
  <c r="H41" i="28"/>
  <c r="G41" i="28"/>
  <c r="D41" i="28"/>
  <c r="B41" i="28"/>
  <c r="H40" i="28"/>
  <c r="G40" i="28"/>
  <c r="D40" i="28"/>
  <c r="B40" i="28"/>
  <c r="H39" i="28"/>
  <c r="G39" i="28"/>
  <c r="D39" i="28"/>
  <c r="B39" i="28"/>
  <c r="F38" i="28"/>
  <c r="G38" i="28" s="1"/>
  <c r="D38" i="28"/>
  <c r="H38" i="28" s="1"/>
  <c r="B38" i="28"/>
  <c r="F37" i="28"/>
  <c r="H36" i="28"/>
  <c r="G36" i="28"/>
  <c r="G35" i="28"/>
  <c r="D35" i="28"/>
  <c r="H35" i="28" s="1"/>
  <c r="B35" i="28"/>
  <c r="G34" i="28"/>
  <c r="F34" i="28"/>
  <c r="E34" i="28"/>
  <c r="H34" i="28" s="1"/>
  <c r="D34" i="28"/>
  <c r="B34" i="28"/>
  <c r="H33" i="28"/>
  <c r="G33" i="28"/>
  <c r="F33" i="28"/>
  <c r="H32" i="28"/>
  <c r="G32" i="28"/>
  <c r="H31" i="28"/>
  <c r="G31" i="28"/>
  <c r="H30" i="28"/>
  <c r="G30" i="28"/>
  <c r="F29" i="28"/>
  <c r="E29" i="28"/>
  <c r="F28" i="28"/>
  <c r="D28" i="28"/>
  <c r="B28" i="28"/>
  <c r="G27" i="28"/>
  <c r="F27" i="28"/>
  <c r="H27" i="28" s="1"/>
  <c r="H26" i="28"/>
  <c r="G26" i="28"/>
  <c r="H25" i="28"/>
  <c r="G25" i="28"/>
  <c r="F25" i="28"/>
  <c r="G24" i="28"/>
  <c r="F24" i="28"/>
  <c r="H24" i="28" s="1"/>
  <c r="D24" i="28"/>
  <c r="B24" i="28"/>
  <c r="H23" i="28"/>
  <c r="G23" i="28"/>
  <c r="F23" i="28"/>
  <c r="D23" i="28"/>
  <c r="B23" i="28"/>
  <c r="H22" i="28"/>
  <c r="G22" i="28"/>
  <c r="G21" i="28"/>
  <c r="H21" i="28" s="1"/>
  <c r="H20" i="28"/>
  <c r="G20" i="28"/>
  <c r="B20" i="28"/>
  <c r="H19" i="28"/>
  <c r="G19" i="28"/>
  <c r="F19" i="28"/>
  <c r="B19" i="28"/>
  <c r="H18" i="28"/>
  <c r="G18" i="28"/>
  <c r="D18" i="28"/>
  <c r="B18" i="28"/>
  <c r="H17" i="28"/>
  <c r="E16" i="28"/>
  <c r="D16" i="28"/>
  <c r="B16" i="28"/>
  <c r="G15" i="28"/>
  <c r="F15" i="28"/>
  <c r="E15" i="28"/>
  <c r="H15" i="28" s="1"/>
  <c r="D15" i="28"/>
  <c r="H14" i="28"/>
  <c r="G14" i="28"/>
  <c r="H13" i="28"/>
  <c r="G13" i="28"/>
  <c r="B13" i="28"/>
  <c r="H12" i="28"/>
  <c r="G12" i="28"/>
  <c r="D12" i="28"/>
  <c r="B12" i="28"/>
  <c r="H11" i="28"/>
  <c r="G11" i="28"/>
  <c r="E11" i="28"/>
  <c r="E59" i="28" s="1"/>
  <c r="B11" i="28"/>
  <c r="H10" i="28"/>
  <c r="G10" i="28"/>
  <c r="F10" i="28"/>
  <c r="H9" i="28"/>
  <c r="G9" i="28"/>
  <c r="F8" i="28"/>
  <c r="D8" i="28"/>
  <c r="B8" i="28"/>
  <c r="G7" i="28"/>
  <c r="F7" i="28"/>
  <c r="H7" i="28" s="1"/>
  <c r="B7" i="28"/>
  <c r="G6" i="28"/>
  <c r="F6" i="28"/>
  <c r="H6" i="28" s="1"/>
  <c r="H5" i="28"/>
  <c r="G5" i="28"/>
  <c r="H4" i="28"/>
  <c r="G4" i="28"/>
  <c r="F4" i="28"/>
  <c r="D4" i="28"/>
  <c r="H3" i="28"/>
  <c r="G3" i="28"/>
  <c r="F3" i="28"/>
  <c r="D3" i="28"/>
  <c r="B3" i="28"/>
  <c r="G2" i="28"/>
  <c r="F2" i="28"/>
  <c r="F59" i="28" s="1"/>
  <c r="D2" i="28"/>
  <c r="H2" i="28" s="1"/>
  <c r="B2" i="28"/>
  <c r="B59" i="28" s="1"/>
  <c r="H45" i="28" l="1"/>
  <c r="H8" i="28"/>
  <c r="G8" i="28"/>
  <c r="G16" i="28"/>
  <c r="G59" i="28" s="1"/>
  <c r="G28" i="28"/>
  <c r="H28" i="28" s="1"/>
  <c r="G29" i="28"/>
  <c r="H29" i="28" s="1"/>
  <c r="G37" i="28"/>
  <c r="H37" i="28" s="1"/>
  <c r="G44" i="28"/>
  <c r="H44" i="28" s="1"/>
  <c r="D59" i="28"/>
  <c r="N54" i="3"/>
  <c r="H59" i="28" l="1"/>
  <c r="H16" i="28"/>
  <c r="M55" i="3"/>
  <c r="N28" i="3"/>
  <c r="N31" i="3"/>
  <c r="N18" i="3"/>
  <c r="N45" i="3"/>
  <c r="N20" i="3"/>
  <c r="N29" i="3"/>
  <c r="N53" i="3"/>
  <c r="N11" i="3"/>
  <c r="N23" i="3"/>
  <c r="N8" i="3"/>
  <c r="N55" i="3" s="1"/>
  <c r="N10" i="3"/>
  <c r="J12" i="3" l="1"/>
  <c r="J55" i="3" s="1"/>
  <c r="G55" i="3"/>
  <c r="H4" i="3"/>
  <c r="H55" i="3" s="1"/>
  <c r="I55" i="3"/>
  <c r="F12" i="3"/>
  <c r="E12" i="3"/>
  <c r="K55" i="3"/>
  <c r="C55" i="3"/>
  <c r="D55" i="3"/>
  <c r="E55" i="3"/>
  <c r="L55" i="3"/>
  <c r="F55" i="3"/>
  <c r="B11" i="26"/>
  <c r="C11" i="26"/>
  <c r="D11" i="26"/>
  <c r="B12" i="26"/>
  <c r="C12" i="26"/>
  <c r="D12" i="26"/>
  <c r="E12" i="26"/>
  <c r="F12" i="26"/>
  <c r="A14" i="26"/>
  <c r="A15" i="26"/>
  <c r="A16" i="26"/>
  <c r="A17" i="26"/>
  <c r="A18" i="26"/>
  <c r="A19" i="26"/>
  <c r="B24" i="26"/>
  <c r="C24" i="26"/>
  <c r="D24" i="26"/>
  <c r="E24" i="26"/>
  <c r="B25" i="26"/>
  <c r="C25" i="26"/>
  <c r="D25" i="26"/>
  <c r="E25" i="26"/>
  <c r="F25" i="26"/>
  <c r="B26" i="26"/>
  <c r="C26" i="26"/>
  <c r="D26" i="26"/>
  <c r="E26" i="26"/>
  <c r="F26" i="26"/>
  <c r="B27" i="26"/>
  <c r="C27" i="26"/>
  <c r="D27" i="26"/>
  <c r="E27" i="26"/>
  <c r="F27" i="26"/>
  <c r="A30" i="26"/>
  <c r="A33" i="26"/>
  <c r="A34" i="26"/>
  <c r="B36" i="26"/>
  <c r="C36" i="26"/>
  <c r="D36" i="26"/>
  <c r="E36" i="26"/>
  <c r="A37" i="26"/>
  <c r="A38" i="26"/>
  <c r="A39" i="26"/>
  <c r="A41" i="26"/>
  <c r="A44" i="26"/>
  <c r="B50" i="26"/>
  <c r="C50" i="26"/>
  <c r="D50" i="26"/>
  <c r="E50" i="26"/>
  <c r="F50" i="26"/>
  <c r="B53" i="26"/>
  <c r="C53" i="26"/>
  <c r="D53" i="26"/>
  <c r="E53" i="26"/>
  <c r="F53" i="26"/>
  <c r="B61" i="26"/>
  <c r="C61" i="26"/>
  <c r="D61" i="26"/>
  <c r="E61" i="26"/>
  <c r="F61" i="26"/>
  <c r="B65" i="26"/>
  <c r="B13" i="26"/>
  <c r="C65" i="26"/>
  <c r="C13" i="26"/>
  <c r="D65" i="26"/>
  <c r="D13" i="26"/>
  <c r="E65" i="26"/>
  <c r="E13" i="26"/>
  <c r="F65" i="26"/>
  <c r="F13" i="26"/>
  <c r="B76" i="26"/>
  <c r="B14" i="26"/>
  <c r="C76" i="26"/>
  <c r="C14" i="26"/>
  <c r="D76" i="26"/>
  <c r="D14" i="26"/>
  <c r="E76" i="26"/>
  <c r="E14" i="26"/>
  <c r="F76" i="26"/>
  <c r="F14" i="26"/>
  <c r="C78" i="26"/>
  <c r="C16" i="26"/>
  <c r="B80" i="26"/>
  <c r="B18" i="26"/>
  <c r="C80" i="26"/>
  <c r="C18" i="26"/>
  <c r="D80" i="26"/>
  <c r="D18" i="26"/>
  <c r="E80" i="26"/>
  <c r="E18" i="26"/>
  <c r="F80" i="26"/>
  <c r="F18" i="26"/>
  <c r="B82" i="26"/>
  <c r="B20" i="26"/>
  <c r="C82" i="26"/>
  <c r="C20" i="26"/>
  <c r="D82" i="26"/>
  <c r="D20" i="26"/>
  <c r="E82" i="26"/>
  <c r="E20" i="26"/>
  <c r="F82" i="26"/>
  <c r="F20" i="26"/>
  <c r="A86" i="26"/>
  <c r="A89" i="26"/>
  <c r="B96" i="26"/>
  <c r="B137" i="26"/>
  <c r="C96" i="26"/>
  <c r="C137" i="26"/>
  <c r="D96" i="26"/>
  <c r="D137" i="26"/>
  <c r="E96" i="26"/>
  <c r="F96" i="26"/>
  <c r="F137" i="26"/>
  <c r="B103" i="26"/>
  <c r="B77" i="26"/>
  <c r="B15" i="26"/>
  <c r="C103" i="26"/>
  <c r="C77" i="26"/>
  <c r="C15" i="26"/>
  <c r="D103" i="26"/>
  <c r="D77" i="26"/>
  <c r="D15" i="26"/>
  <c r="E103" i="26"/>
  <c r="E142" i="26"/>
  <c r="F103" i="26"/>
  <c r="F77" i="26"/>
  <c r="F15" i="26"/>
  <c r="B109" i="26"/>
  <c r="B150" i="26"/>
  <c r="C109" i="26"/>
  <c r="D109" i="26"/>
  <c r="D150" i="26"/>
  <c r="E109" i="26"/>
  <c r="E150" i="26"/>
  <c r="F109" i="26"/>
  <c r="F150" i="26"/>
  <c r="B114" i="26"/>
  <c r="C114" i="26"/>
  <c r="D114" i="26"/>
  <c r="E114" i="26"/>
  <c r="F114" i="26"/>
  <c r="B119" i="26"/>
  <c r="B28" i="26"/>
  <c r="C119" i="26"/>
  <c r="C28" i="26"/>
  <c r="D119" i="26"/>
  <c r="D28" i="26"/>
  <c r="E119" i="26"/>
  <c r="E28" i="26"/>
  <c r="F119" i="26"/>
  <c r="F28" i="26"/>
  <c r="B120" i="26"/>
  <c r="B29" i="26"/>
  <c r="C120" i="26"/>
  <c r="C29" i="26"/>
  <c r="D120" i="26"/>
  <c r="D29" i="26"/>
  <c r="E120" i="26"/>
  <c r="E29" i="26"/>
  <c r="F120" i="26"/>
  <c r="F29" i="26"/>
  <c r="B121" i="26"/>
  <c r="B30" i="26"/>
  <c r="C121" i="26"/>
  <c r="C30" i="26"/>
  <c r="D121" i="26"/>
  <c r="D30" i="26"/>
  <c r="E121" i="26"/>
  <c r="E30" i="26"/>
  <c r="F121" i="26"/>
  <c r="F30" i="26"/>
  <c r="B122" i="26"/>
  <c r="B31" i="26"/>
  <c r="C122" i="26"/>
  <c r="C31" i="26"/>
  <c r="D122" i="26"/>
  <c r="D31" i="26"/>
  <c r="E122" i="26"/>
  <c r="E31" i="26"/>
  <c r="F122" i="26"/>
  <c r="F31" i="26"/>
  <c r="B123" i="26"/>
  <c r="B32" i="26"/>
  <c r="C123" i="26"/>
  <c r="C32" i="26"/>
  <c r="D123" i="26"/>
  <c r="D32" i="26"/>
  <c r="E123" i="26"/>
  <c r="E32" i="26"/>
  <c r="F123" i="26"/>
  <c r="F32" i="26"/>
  <c r="B124" i="26"/>
  <c r="B33" i="26"/>
  <c r="C124" i="26"/>
  <c r="C33" i="26"/>
  <c r="D124" i="26"/>
  <c r="D33" i="26"/>
  <c r="E124" i="26"/>
  <c r="E33" i="26"/>
  <c r="F124" i="26"/>
  <c r="F33" i="26"/>
  <c r="B125" i="26"/>
  <c r="B34" i="26"/>
  <c r="C125" i="26"/>
  <c r="C34" i="26"/>
  <c r="D125" i="26"/>
  <c r="D34" i="26"/>
  <c r="E125" i="26"/>
  <c r="E34" i="26"/>
  <c r="F125" i="26"/>
  <c r="F34" i="26"/>
  <c r="A127" i="26"/>
  <c r="A130" i="26"/>
  <c r="B134" i="26"/>
  <c r="B138" i="26"/>
  <c r="C134" i="26"/>
  <c r="C138" i="26"/>
  <c r="D134" i="26"/>
  <c r="D138" i="26"/>
  <c r="E134" i="26"/>
  <c r="E138" i="26"/>
  <c r="F134" i="26"/>
  <c r="B135" i="26"/>
  <c r="C135" i="26"/>
  <c r="D135" i="26"/>
  <c r="E135" i="26"/>
  <c r="F135" i="26"/>
  <c r="B136" i="26"/>
  <c r="C136" i="26"/>
  <c r="D136" i="26"/>
  <c r="E136" i="26"/>
  <c r="F136" i="26"/>
  <c r="E137" i="26"/>
  <c r="F138" i="26"/>
  <c r="F142" i="26"/>
  <c r="B147" i="26"/>
  <c r="B151" i="26"/>
  <c r="C147" i="26"/>
  <c r="C151" i="26"/>
  <c r="D147" i="26"/>
  <c r="D151" i="26"/>
  <c r="E147" i="26"/>
  <c r="E151" i="26"/>
  <c r="F147" i="26"/>
  <c r="B148" i="26"/>
  <c r="C148" i="26"/>
  <c r="D148" i="26"/>
  <c r="E148" i="26"/>
  <c r="F148" i="26"/>
  <c r="B149" i="26"/>
  <c r="C149" i="26"/>
  <c r="D149" i="26"/>
  <c r="E149" i="26"/>
  <c r="F149" i="26"/>
  <c r="C150" i="26"/>
  <c r="F151" i="26"/>
  <c r="A153" i="26"/>
  <c r="A156" i="26"/>
  <c r="B160" i="26"/>
  <c r="C160" i="26"/>
  <c r="C163" i="26"/>
  <c r="D160" i="26"/>
  <c r="D163" i="26"/>
  <c r="E160" i="26"/>
  <c r="E163" i="26"/>
  <c r="F160" i="26"/>
  <c r="F163" i="26"/>
  <c r="B163" i="26"/>
  <c r="B172" i="26"/>
  <c r="C172" i="26"/>
  <c r="C174" i="26"/>
  <c r="D172" i="26"/>
  <c r="D174" i="26"/>
  <c r="E172" i="26"/>
  <c r="E174" i="26"/>
  <c r="F172" i="26"/>
  <c r="F174" i="26"/>
  <c r="B174" i="26"/>
  <c r="A176" i="26"/>
  <c r="A179" i="26"/>
  <c r="B185" i="26"/>
  <c r="C185" i="26"/>
  <c r="C187" i="26"/>
  <c r="C83" i="26"/>
  <c r="C84" i="26"/>
  <c r="C22" i="26"/>
  <c r="D185" i="26"/>
  <c r="D195" i="26"/>
  <c r="D37" i="26"/>
  <c r="E185" i="26"/>
  <c r="E187" i="26"/>
  <c r="E83" i="26"/>
  <c r="E84" i="26"/>
  <c r="E22" i="26"/>
  <c r="F185" i="26"/>
  <c r="F187" i="26"/>
  <c r="F83" i="26"/>
  <c r="B187" i="26"/>
  <c r="B83" i="26"/>
  <c r="B84" i="26"/>
  <c r="B22" i="26"/>
  <c r="B189" i="26"/>
  <c r="C189" i="26"/>
  <c r="D189" i="26"/>
  <c r="E189" i="26"/>
  <c r="F189" i="26"/>
  <c r="B195" i="26"/>
  <c r="B37" i="26"/>
  <c r="F195" i="26"/>
  <c r="F37" i="26"/>
  <c r="B196" i="26"/>
  <c r="B38" i="26"/>
  <c r="C196" i="26"/>
  <c r="C38" i="26"/>
  <c r="D196" i="26"/>
  <c r="D38" i="26"/>
  <c r="E196" i="26"/>
  <c r="E38" i="26"/>
  <c r="F196" i="26"/>
  <c r="F38" i="26"/>
  <c r="B197" i="26"/>
  <c r="B39" i="26"/>
  <c r="C197" i="26"/>
  <c r="C39" i="26"/>
  <c r="D197" i="26"/>
  <c r="D39" i="26"/>
  <c r="E197" i="26"/>
  <c r="E39" i="26"/>
  <c r="F197" i="26"/>
  <c r="F39" i="26"/>
  <c r="E195" i="26"/>
  <c r="E37" i="26"/>
  <c r="C143" i="26"/>
  <c r="B142" i="26"/>
  <c r="C141" i="26"/>
  <c r="C144" i="26"/>
  <c r="D78" i="26"/>
  <c r="D16" i="26"/>
  <c r="D64" i="26"/>
  <c r="B141" i="26"/>
  <c r="B144" i="26"/>
  <c r="C142" i="26"/>
  <c r="D79" i="26"/>
  <c r="D17" i="26"/>
  <c r="C64" i="26"/>
  <c r="D143" i="26"/>
  <c r="D141" i="26"/>
  <c r="D144" i="26"/>
  <c r="E77" i="26"/>
  <c r="E15" i="26"/>
  <c r="F64" i="26"/>
  <c r="F78" i="26"/>
  <c r="F16" i="26"/>
  <c r="E141" i="26"/>
  <c r="E144" i="26"/>
  <c r="D142" i="26"/>
  <c r="E143" i="26"/>
  <c r="E21" i="26"/>
  <c r="F84" i="26"/>
  <c r="F22" i="26"/>
  <c r="F21" i="26"/>
  <c r="B78" i="26"/>
  <c r="B16" i="26"/>
  <c r="C21" i="26"/>
  <c r="D187" i="26"/>
  <c r="D83" i="26"/>
  <c r="F81" i="26"/>
  <c r="F19" i="26"/>
  <c r="F141" i="26"/>
  <c r="F144" i="26"/>
  <c r="B64" i="26"/>
  <c r="B21" i="26"/>
  <c r="C195" i="26"/>
  <c r="C37" i="26"/>
  <c r="F143" i="26"/>
  <c r="B143" i="26"/>
  <c r="E81" i="26"/>
  <c r="E19" i="26"/>
  <c r="D81" i="26"/>
  <c r="D19" i="26"/>
  <c r="C81" i="26"/>
  <c r="C19" i="26"/>
  <c r="B81" i="26"/>
  <c r="B19" i="26"/>
  <c r="F79" i="26"/>
  <c r="F17" i="26"/>
  <c r="E79" i="26"/>
  <c r="E17" i="26"/>
  <c r="C79" i="26"/>
  <c r="C17" i="26"/>
  <c r="B79" i="26"/>
  <c r="B17" i="26"/>
  <c r="E78" i="26"/>
  <c r="E16" i="26"/>
  <c r="E64" i="26"/>
  <c r="D84" i="26"/>
  <c r="D22" i="26"/>
  <c r="D21" i="26"/>
</calcChain>
</file>

<file path=xl/comments1.xml><?xml version="1.0" encoding="utf-8"?>
<comments xmlns="http://schemas.openxmlformats.org/spreadsheetml/2006/main">
  <authors>
    <author>Jeremy Williams - Director of Business Oversight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Jeremy Williams - Director of Business Oversight:</t>
        </r>
        <r>
          <rPr>
            <sz val="8"/>
            <color indexed="81"/>
            <rFont val="Tahoma"/>
            <family val="2"/>
          </rPr>
          <t xml:space="preserve">
per pupil/ SPED/ Facilities</t>
        </r>
      </text>
    </comment>
  </commentList>
</comments>
</file>

<file path=xl/sharedStrings.xml><?xml version="1.0" encoding="utf-8"?>
<sst xmlns="http://schemas.openxmlformats.org/spreadsheetml/2006/main" count="317" uniqueCount="208">
  <si>
    <t>ASSETS:</t>
  </si>
  <si>
    <t>Cash</t>
  </si>
  <si>
    <t>Other current assets</t>
  </si>
  <si>
    <t>Total current assets</t>
  </si>
  <si>
    <t>Property and equipment, net</t>
  </si>
  <si>
    <t>Total assets</t>
  </si>
  <si>
    <t xml:space="preserve"> </t>
  </si>
  <si>
    <t>Other assets</t>
  </si>
  <si>
    <t>LIABILITIES:</t>
  </si>
  <si>
    <t>Lines of credit</t>
  </si>
  <si>
    <t>Total current liabilities</t>
  </si>
  <si>
    <t xml:space="preserve">Notes payable, current </t>
  </si>
  <si>
    <t>Other liabilities</t>
  </si>
  <si>
    <t>Total liabilities</t>
  </si>
  <si>
    <t>NET ASSETS:</t>
  </si>
  <si>
    <t>Unrestricted</t>
  </si>
  <si>
    <t>Temporarily restricted</t>
  </si>
  <si>
    <t>Permanently restricted</t>
  </si>
  <si>
    <t>Total net assets</t>
  </si>
  <si>
    <t>Total liabilities and net assets</t>
  </si>
  <si>
    <t>Other income</t>
  </si>
  <si>
    <t>Total revenues</t>
  </si>
  <si>
    <t>Program services</t>
  </si>
  <si>
    <t>Fundraising</t>
  </si>
  <si>
    <t>Total expenses</t>
  </si>
  <si>
    <t>Change in net assets</t>
  </si>
  <si>
    <t>Adjustments</t>
  </si>
  <si>
    <t>Proceeds from debt</t>
  </si>
  <si>
    <t>Other</t>
  </si>
  <si>
    <t>Principal payments on debt and leases</t>
  </si>
  <si>
    <t>Net cash provided by financing activities</t>
  </si>
  <si>
    <t>Net change in cash</t>
  </si>
  <si>
    <t>Lines of Credit</t>
  </si>
  <si>
    <t>Interest expense</t>
  </si>
  <si>
    <t>Principal payments</t>
  </si>
  <si>
    <t>Total Debt Service</t>
  </si>
  <si>
    <t>Exhibit 1</t>
  </si>
  <si>
    <t>Total Expenses</t>
  </si>
  <si>
    <t>June 30, 2010 and 2009</t>
  </si>
  <si>
    <t>Thurgood Marshall Academy And Subsidiary</t>
  </si>
  <si>
    <t>Accounts and grants receivable, net</t>
  </si>
  <si>
    <t>Accounts payable and accrued expenses</t>
  </si>
  <si>
    <t>Other current liabilities</t>
  </si>
  <si>
    <t xml:space="preserve">Notes payable, net of current portion </t>
  </si>
  <si>
    <t>Tuition - per-pupil funding allocation</t>
  </si>
  <si>
    <t>Other grants and contributions</t>
  </si>
  <si>
    <t>Federal entitlements (Titles 1, 2, 4, &amp; 5)</t>
  </si>
  <si>
    <t>General and administrative</t>
  </si>
  <si>
    <t>Net cash provided by (used in) operations</t>
  </si>
  <si>
    <t>Net cash used in investing activities</t>
  </si>
  <si>
    <t>Mortgage payable</t>
  </si>
  <si>
    <t>Bank note payable</t>
  </si>
  <si>
    <t>Occupancy costs</t>
  </si>
  <si>
    <t>Debt Service Coverage Ratio</t>
  </si>
  <si>
    <t>Debt Service Ratio</t>
  </si>
  <si>
    <t>Current Ratio</t>
  </si>
  <si>
    <t>Months of Cash</t>
  </si>
  <si>
    <t>Earnings Margin</t>
  </si>
  <si>
    <t>Occupancy Expense Ratio</t>
  </si>
  <si>
    <t>DC Facility Allowance Ratio</t>
  </si>
  <si>
    <t>Statement of Financial Position</t>
  </si>
  <si>
    <t>FINANCIAL RATIOS AND METRICS</t>
  </si>
  <si>
    <t>Statement of Activities</t>
  </si>
  <si>
    <t>Schedule 1</t>
  </si>
  <si>
    <t>Schedule 2</t>
  </si>
  <si>
    <t>Schedule 3</t>
  </si>
  <si>
    <t>Schedule 4</t>
  </si>
  <si>
    <t>Statement of Activities - Percentage Distributions</t>
  </si>
  <si>
    <t>Statement of Cash Flows</t>
  </si>
  <si>
    <t>Schedule 5</t>
  </si>
  <si>
    <t>Depreciation</t>
  </si>
  <si>
    <t>Other changes, net</t>
  </si>
  <si>
    <t>Schedule 6</t>
  </si>
  <si>
    <t>REVENUES</t>
  </si>
  <si>
    <t>EXPENSES BY PROGRAM</t>
  </si>
  <si>
    <t>CHANGE IN NET ASSETS</t>
  </si>
  <si>
    <t>Total debt</t>
  </si>
  <si>
    <t>STATEMENT OF FINANCIAL POSITION</t>
  </si>
  <si>
    <t>STATEMENT OF ACTIVITIES</t>
  </si>
  <si>
    <t>DEBT SUMMARY</t>
  </si>
  <si>
    <t>DEMOGRAPHICS</t>
  </si>
  <si>
    <t>Year of incorporation or charter award</t>
  </si>
  <si>
    <t>Number of students enrolled</t>
  </si>
  <si>
    <t>Total Assets</t>
  </si>
  <si>
    <t>Total Liabilities</t>
  </si>
  <si>
    <t>Total Revenue</t>
  </si>
  <si>
    <t>Notes</t>
  </si>
  <si>
    <t>CASH FLOWS FROM FINANCING ACTIVITIES</t>
  </si>
  <si>
    <t>CASH FLOWS FROM OPERATING ACTIVITIES</t>
  </si>
  <si>
    <t>Expendable Net Assets</t>
  </si>
  <si>
    <t>Change in net assets before adjustments</t>
  </si>
  <si>
    <t>EXPENSES BY SELECTED CATEGORY</t>
  </si>
  <si>
    <t>Long Term Debt and Lines of Credit</t>
  </si>
  <si>
    <t>Less: current portion debt</t>
  </si>
  <si>
    <t>Long-term portion debt</t>
  </si>
  <si>
    <t>Current Debt Ratio</t>
  </si>
  <si>
    <r>
      <t xml:space="preserve">Current assets ÷ Current liabilities │ </t>
    </r>
    <r>
      <rPr>
        <sz val="8"/>
        <rFont val="Calibri"/>
        <family val="2"/>
      </rPr>
      <t>a measure of a school's liquidity - the amount of financial resources available to cover a school's current obligations (ratio of 1 or greater is desirable)</t>
    </r>
  </si>
  <si>
    <r>
      <rPr>
        <b/>
        <sz val="8"/>
        <rFont val="Calibri"/>
        <family val="2"/>
      </rPr>
      <t>Total Assets - Total Liabilities │</t>
    </r>
    <r>
      <rPr>
        <sz val="8"/>
        <rFont val="Calibri"/>
        <family val="2"/>
      </rPr>
      <t xml:space="preserve"> whether accumulated surpluses have been greater than accumulated deficits</t>
    </r>
  </si>
  <si>
    <r>
      <t>Change in Net Assets ÷ Total Revenues │</t>
    </r>
    <r>
      <rPr>
        <sz val="8"/>
        <rFont val="Calibri"/>
        <family val="2"/>
      </rPr>
      <t xml:space="preserve"> a measure of profitability, or how much out of every dollar of revenue the school actually keeps (safe or adequate Earnings Margin is above 11%). </t>
    </r>
  </si>
  <si>
    <r>
      <t>Current Portion Debt ÷ Total Debt │</t>
    </r>
    <r>
      <rPr>
        <sz val="8"/>
        <rFont val="Calibri"/>
        <family val="2"/>
      </rPr>
      <t xml:space="preserve"> measures the percentage of a school's debt that is due in the subsequent fiscal year</t>
    </r>
  </si>
  <si>
    <t>Name of School</t>
  </si>
  <si>
    <t>Debt to Worth Ratio</t>
  </si>
  <si>
    <t>Net Asset Position</t>
  </si>
  <si>
    <t>Revenues per Student</t>
  </si>
  <si>
    <t>Expenses per Student</t>
  </si>
  <si>
    <r>
      <t xml:space="preserve">Total Revenues ÷ Enrollment │ </t>
    </r>
    <r>
      <rPr>
        <sz val="8"/>
        <rFont val="Calibri"/>
        <family val="2"/>
      </rPr>
      <t>measures success in retaining overall funding levels</t>
    </r>
    <r>
      <rPr>
        <b/>
        <sz val="8"/>
        <rFont val="Calibri"/>
        <family val="2"/>
      </rPr>
      <t xml:space="preserve"> </t>
    </r>
  </si>
  <si>
    <r>
      <t xml:space="preserve">Total Expenses ÷ Enrollment │ </t>
    </r>
    <r>
      <rPr>
        <sz val="8"/>
        <rFont val="Calibri"/>
        <family val="2"/>
      </rPr>
      <t>all-inclusive cost of educating each enrolled student</t>
    </r>
  </si>
  <si>
    <t>Primary Reserve Ratio</t>
  </si>
  <si>
    <r>
      <t>Expendable Net Assets ÷ Total expenses │</t>
    </r>
    <r>
      <rPr>
        <sz val="8"/>
        <rFont val="Calibri"/>
        <family val="2"/>
      </rPr>
      <t xml:space="preserve"> a measure of a school's ability to cover its annual expenses </t>
    </r>
  </si>
  <si>
    <t>DC PPF Expense Ratio</t>
  </si>
  <si>
    <t>Fixed Assets Ratio</t>
  </si>
  <si>
    <r>
      <t>DC PPF ÷ Total Expenses │</t>
    </r>
    <r>
      <rPr>
        <sz val="8"/>
        <rFont val="Calibri"/>
        <family val="2"/>
      </rPr>
      <t xml:space="preserve"> the percentage of a school's total expenses covered by DC Per Pupil Funding</t>
    </r>
  </si>
  <si>
    <t>Achievement Preparatory Academy</t>
  </si>
  <si>
    <t>Bridges Public Charter School, Inc.</t>
  </si>
  <si>
    <t>Booker T. Washington Public Charter School, Inc.</t>
  </si>
  <si>
    <t>Arts and Technology Academy, Inc.</t>
  </si>
  <si>
    <t>Appletree Early Learning Public Charter School</t>
  </si>
  <si>
    <t>Capital City Public Charter School</t>
  </si>
  <si>
    <t>KIPP DC and Affiliates</t>
  </si>
  <si>
    <t>Carlos Rosario International Public Charter School</t>
  </si>
  <si>
    <t>Center City Public Charter Schools, Inc.</t>
  </si>
  <si>
    <t>Cesar Chavez Public Charter Schools for Public Policy</t>
  </si>
  <si>
    <t>Community Academy Public Charter School, Inc.</t>
  </si>
  <si>
    <t>D.C. Preparatory Academy</t>
  </si>
  <si>
    <r>
      <t>Cash ÷ [Total expenses ÷ 12] │</t>
    </r>
    <r>
      <rPr>
        <sz val="8"/>
        <rFont val="Calibri"/>
        <family val="2"/>
      </rPr>
      <t xml:space="preserve"> solvency - a school's ability to pay debts and claims as they come due (3 months or greater is desirable)</t>
    </r>
  </si>
  <si>
    <r>
      <rPr>
        <b/>
        <sz val="8"/>
        <rFont val="Calibri"/>
        <family val="2"/>
      </rPr>
      <t xml:space="preserve">Total Liabilities ÷ Total Assets │ </t>
    </r>
    <r>
      <rPr>
        <sz val="8"/>
        <rFont val="Calibri"/>
        <family val="2"/>
      </rPr>
      <t>how leveraged a school is, or the extent to which a school relies on borrowed funds to finance its operations (less is more, 0.5 - 0.6 is desirable)</t>
    </r>
  </si>
  <si>
    <r>
      <t>Property and Equipment, net  ÷ Total Assets │</t>
    </r>
    <r>
      <rPr>
        <sz val="8"/>
        <rFont val="Calibri"/>
        <family val="2"/>
      </rPr>
      <t xml:space="preserve"> a measure of a school's fixed assets relative to total assets</t>
    </r>
  </si>
  <si>
    <r>
      <t xml:space="preserve">Unrestricted Net Assets + Temporarily Restricted Net Assets - Invested in Plant + Long Term Debt │ </t>
    </r>
    <r>
      <rPr>
        <sz val="8"/>
        <rFont val="Calibri"/>
        <family val="2"/>
      </rPr>
      <t>measures the amount of unencumbered resources</t>
    </r>
  </si>
  <si>
    <t>Operating Surplus (Deficit)</t>
  </si>
  <si>
    <r>
      <t>Total Revenues – Total Expenses │</t>
    </r>
    <r>
      <rPr>
        <sz val="8"/>
        <rFont val="Calibri"/>
        <family val="2"/>
      </rPr>
      <t xml:space="preserve"> whether or not the school is living within its available resources</t>
    </r>
  </si>
  <si>
    <r>
      <rPr>
        <b/>
        <sz val="8"/>
        <rFont val="Calibri"/>
        <family val="2"/>
      </rPr>
      <t>[Enrollment x $2,800] ÷ Facility Costs │</t>
    </r>
    <r>
      <rPr>
        <sz val="8"/>
        <rFont val="Calibri"/>
        <family val="2"/>
      </rPr>
      <t xml:space="preserve"> a measure of a school’s DC facility funding as a percentage of facility costs (ratio of 1 is desirable)</t>
    </r>
  </si>
  <si>
    <r>
      <rPr>
        <b/>
        <sz val="8"/>
        <rFont val="Calibri"/>
        <family val="2"/>
      </rPr>
      <t xml:space="preserve">Facility Costs ÷ Total Revenues │ </t>
    </r>
    <r>
      <rPr>
        <sz val="8"/>
        <rFont val="Calibri"/>
        <family val="2"/>
      </rPr>
      <t>a measure of the percentage of a school’s total revenues that are absorbed by occupancy costs</t>
    </r>
  </si>
  <si>
    <r>
      <t xml:space="preserve">Debt Service Cost ÷ Total revenues │ </t>
    </r>
    <r>
      <rPr>
        <sz val="8"/>
        <rFont val="Calibri"/>
        <family val="2"/>
      </rPr>
      <t>measures the percentage of a school's total revenues that are absorbed by debt service costs</t>
    </r>
  </si>
  <si>
    <t>Contractual Services</t>
  </si>
  <si>
    <r>
      <t xml:space="preserve">[Operating surplus + Debt Service Cost] ÷ Debt Service Cost │ </t>
    </r>
    <r>
      <rPr>
        <sz val="8"/>
        <rFont val="Calibri"/>
        <family val="2"/>
      </rPr>
      <t xml:space="preserve">measures a school's ability to cover its debt service costs (1 or greater is desirable) </t>
    </r>
  </si>
  <si>
    <t>Payroll (salaries, taxes and benefits)</t>
  </si>
  <si>
    <t>Financial Dashboard Indicators</t>
  </si>
  <si>
    <t xml:space="preserve">Cash Flow </t>
  </si>
  <si>
    <r>
      <t xml:space="preserve">Change in Net Assets + Depreciation + Deferred Expenses │ </t>
    </r>
    <r>
      <rPr>
        <sz val="8"/>
        <rFont val="Calibri"/>
        <family val="2"/>
      </rPr>
      <t>whether or not a school has adequate annual cash flow to meet scheduled disbursements</t>
    </r>
  </si>
  <si>
    <t>Cash Flow</t>
  </si>
  <si>
    <t>Debt Ratio</t>
  </si>
  <si>
    <r>
      <t xml:space="preserve">Total Liabilities ÷ Net Assets │ </t>
    </r>
    <r>
      <rPr>
        <sz val="8"/>
        <rFont val="Calibri"/>
        <family val="2"/>
      </rPr>
      <t>a financial leverage ratio which measures how much debt a school carries. This can result in volatile earnings because of increased interest expense. (Less is more)</t>
    </r>
  </si>
  <si>
    <t>Capitalization Ratio</t>
  </si>
  <si>
    <r>
      <t xml:space="preserve">Net Assets  ÷ Total Assets │ </t>
    </r>
    <r>
      <rPr>
        <sz val="8"/>
        <rFont val="Calibri"/>
        <family val="2"/>
      </rPr>
      <t>a financial leverage ratio.  A low worth to asset ratio indicates a school has been aggressive in financing its investments with debt</t>
    </r>
  </si>
  <si>
    <t>Howard Road Academy Public Charter School</t>
  </si>
  <si>
    <t>Maya Angelou Public Charter School</t>
  </si>
  <si>
    <t>Paul Public Charter School</t>
  </si>
  <si>
    <t>Eagle Academy Public Charter School, Inc.</t>
  </si>
  <si>
    <t xml:space="preserve">Education Strengthens Families Public Charter School </t>
  </si>
  <si>
    <t>Excel Academy Public Charter School</t>
  </si>
  <si>
    <t>Deferred Expenses</t>
  </si>
  <si>
    <t>Hospitality High School of Washington, DC, A Public Charter School</t>
  </si>
  <si>
    <t>Howard University Public Charter Middle School of Mathematics and Science</t>
  </si>
  <si>
    <t>Integrated Design &amp; Electronics Academy Public Charter School</t>
  </si>
  <si>
    <t>Latin American Montessori Bilingual Public Charter School, Inc.</t>
  </si>
  <si>
    <t>National Collegiate Preparatory Public Charter High School</t>
  </si>
  <si>
    <t>Hope Community Charter School, Inc.</t>
  </si>
  <si>
    <t>Early Childhood Academy Public Charter School, Inc.</t>
  </si>
  <si>
    <t>Elsie Whitlow Stokes Community Freedom Public Charter School, Inc.</t>
  </si>
  <si>
    <t>Mary McLeod Bethune Day Academy Public Charter School</t>
  </si>
  <si>
    <t>Next Step Public Charter School</t>
  </si>
  <si>
    <t>Options Public Charter School</t>
  </si>
  <si>
    <t>Potomac Lighthouse Public Charter School</t>
  </si>
  <si>
    <t>Roots Public Charter School, Inc.</t>
  </si>
  <si>
    <t>Septima Clark Public Charter School</t>
  </si>
  <si>
    <t>Saint Coletta Special Education Public Charter School, Inc.</t>
  </si>
  <si>
    <t>Tree of Life Community Public Charter School, Inc.</t>
  </si>
  <si>
    <t>Two Rivers Public Charter School</t>
  </si>
  <si>
    <t>Washington Math Science Technology Public Charter High School, Inc.</t>
  </si>
  <si>
    <t>Washington Yu Ying Public Charter School</t>
  </si>
  <si>
    <t>Latin American Youth Center Youthbuild Public Charter School, Inc.</t>
  </si>
  <si>
    <t>Euphemia L. Haynes Public Charter School, Inc. and Subsidiaries</t>
  </si>
  <si>
    <t>Imagine Southeast Public Charter School</t>
  </si>
  <si>
    <t>Meridian Public Charter School</t>
  </si>
  <si>
    <t>Washington Latin Public Charter School</t>
  </si>
  <si>
    <t>William E. Doar, Jr. Public Charter School for the Performing Arts, Inc.</t>
  </si>
  <si>
    <t xml:space="preserve">Friendship Public Charter School, Inc. </t>
  </si>
  <si>
    <t>Perry Street Preparatory Public Charter School</t>
  </si>
  <si>
    <t>The SEED Public Charter School of Washington, D.C.</t>
  </si>
  <si>
    <t>Tab</t>
  </si>
  <si>
    <t>2012 Total Revenue</t>
  </si>
  <si>
    <t>2012 Total Expenses</t>
  </si>
  <si>
    <t>2012 Surplus (Deficit)</t>
  </si>
  <si>
    <t>2012 DC Funding Allocation</t>
  </si>
  <si>
    <t>Mundo Verde Public Charter School</t>
  </si>
  <si>
    <t>Inspired Teaching Demonstration Public Charter School</t>
  </si>
  <si>
    <t>Shining Stars Montessori Academy Public Charter School</t>
  </si>
  <si>
    <t>Richard Wright PCS for Journalism and Media Arts</t>
  </si>
  <si>
    <t>2012 Federal Revenue</t>
  </si>
  <si>
    <t>Other 2012 Revenue</t>
  </si>
  <si>
    <t>2012 Direct Student Costs</t>
  </si>
  <si>
    <t>2012 Personnel Expenses</t>
  </si>
  <si>
    <t>2012 Occupancy Expenses</t>
  </si>
  <si>
    <t>2012 Other Expenses</t>
  </si>
  <si>
    <t>TOTALS:</t>
  </si>
  <si>
    <t>Net Assets</t>
  </si>
  <si>
    <t>Cash &amp; Cash Equivalents</t>
  </si>
  <si>
    <t>D. C Bilingual Public Charter School, Inc.</t>
  </si>
  <si>
    <t>Ideal Academy Public Charter School  (FY2011 data)</t>
  </si>
  <si>
    <t>Per Pupil Revenue (based on PCS budget 06/30)</t>
  </si>
  <si>
    <t xml:space="preserve">Other </t>
  </si>
  <si>
    <t>BASIS Public Charter School</t>
  </si>
  <si>
    <t>Career Academy Public Charter School</t>
  </si>
  <si>
    <t>Creative Minds Public Charter School</t>
  </si>
  <si>
    <t xml:space="preserve">DC Scholars PCS </t>
  </si>
  <si>
    <t>2013 DC Funding Allocation</t>
  </si>
  <si>
    <t>2013 Federal Revenue</t>
  </si>
  <si>
    <t>Other 2013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</si>
</sst>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0.0"/>
    <numFmt numFmtId="169" formatCode="0.0_);\(0.0\)"/>
    <numFmt numFmtId="170" formatCode="_(* #,##0.000_);_(* \(#,##0.000\);_(* &quot;-&quot;??_);_(@_)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Narrow"/>
      <family val="2"/>
    </font>
    <font>
      <sz val="10"/>
      <name val="Verdan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medium">
        <color indexed="64"/>
      </left>
      <right style="double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7">
    <xf numFmtId="0" fontId="0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7" fillId="35" borderId="0" applyNumberFormat="0" applyBorder="0" applyAlignment="0" applyProtection="0"/>
    <xf numFmtId="0" fontId="2" fillId="12" borderId="0" applyNumberFormat="0" applyBorder="0" applyAlignment="0" applyProtection="0"/>
    <xf numFmtId="0" fontId="37" fillId="36" borderId="0" applyNumberFormat="0" applyBorder="0" applyAlignment="0" applyProtection="0"/>
    <xf numFmtId="0" fontId="2" fillId="16" borderId="0" applyNumberFormat="0" applyBorder="0" applyAlignment="0" applyProtection="0"/>
    <xf numFmtId="0" fontId="37" fillId="37" borderId="0" applyNumberFormat="0" applyBorder="0" applyAlignment="0" applyProtection="0"/>
    <xf numFmtId="0" fontId="2" fillId="20" borderId="0" applyNumberFormat="0" applyBorder="0" applyAlignment="0" applyProtection="0"/>
    <xf numFmtId="0" fontId="37" fillId="38" borderId="0" applyNumberFormat="0" applyBorder="0" applyAlignment="0" applyProtection="0"/>
    <xf numFmtId="0" fontId="2" fillId="24" borderId="0" applyNumberFormat="0" applyBorder="0" applyAlignment="0" applyProtection="0"/>
    <xf numFmtId="0" fontId="37" fillId="39" borderId="0" applyNumberFormat="0" applyBorder="0" applyAlignment="0" applyProtection="0"/>
    <xf numFmtId="0" fontId="2" fillId="28" borderId="0" applyNumberFormat="0" applyBorder="0" applyAlignment="0" applyProtection="0"/>
    <xf numFmtId="0" fontId="37" fillId="40" borderId="0" applyNumberFormat="0" applyBorder="0" applyAlignment="0" applyProtection="0"/>
    <xf numFmtId="0" fontId="2" fillId="32" borderId="0" applyNumberFormat="0" applyBorder="0" applyAlignment="0" applyProtection="0"/>
    <xf numFmtId="0" fontId="37" fillId="41" borderId="0" applyNumberFormat="0" applyBorder="0" applyAlignment="0" applyProtection="0"/>
    <xf numFmtId="0" fontId="2" fillId="13" borderId="0" applyNumberFormat="0" applyBorder="0" applyAlignment="0" applyProtection="0"/>
    <xf numFmtId="0" fontId="37" fillId="42" borderId="0" applyNumberFormat="0" applyBorder="0" applyAlignment="0" applyProtection="0"/>
    <xf numFmtId="0" fontId="2" fillId="17" borderId="0" applyNumberFormat="0" applyBorder="0" applyAlignment="0" applyProtection="0"/>
    <xf numFmtId="0" fontId="37" fillId="43" borderId="0" applyNumberFormat="0" applyBorder="0" applyAlignment="0" applyProtection="0"/>
    <xf numFmtId="0" fontId="2" fillId="21" borderId="0" applyNumberFormat="0" applyBorder="0" applyAlignment="0" applyProtection="0"/>
    <xf numFmtId="0" fontId="37" fillId="38" borderId="0" applyNumberFormat="0" applyBorder="0" applyAlignment="0" applyProtection="0"/>
    <xf numFmtId="0" fontId="2" fillId="25" borderId="0" applyNumberFormat="0" applyBorder="0" applyAlignment="0" applyProtection="0"/>
    <xf numFmtId="0" fontId="37" fillId="41" borderId="0" applyNumberFormat="0" applyBorder="0" applyAlignment="0" applyProtection="0"/>
    <xf numFmtId="0" fontId="2" fillId="29" borderId="0" applyNumberFormat="0" applyBorder="0" applyAlignment="0" applyProtection="0"/>
    <xf numFmtId="0" fontId="37" fillId="44" borderId="0" applyNumberFormat="0" applyBorder="0" applyAlignment="0" applyProtection="0"/>
    <xf numFmtId="0" fontId="2" fillId="33" borderId="0" applyNumberFormat="0" applyBorder="0" applyAlignment="0" applyProtection="0"/>
    <xf numFmtId="0" fontId="38" fillId="45" borderId="0" applyNumberFormat="0" applyBorder="0" applyAlignment="0" applyProtection="0"/>
    <xf numFmtId="0" fontId="35" fillId="14" borderId="0" applyNumberFormat="0" applyBorder="0" applyAlignment="0" applyProtection="0"/>
    <xf numFmtId="0" fontId="38" fillId="42" borderId="0" applyNumberFormat="0" applyBorder="0" applyAlignment="0" applyProtection="0"/>
    <xf numFmtId="0" fontId="35" fillId="18" borderId="0" applyNumberFormat="0" applyBorder="0" applyAlignment="0" applyProtection="0"/>
    <xf numFmtId="0" fontId="38" fillId="43" borderId="0" applyNumberFormat="0" applyBorder="0" applyAlignment="0" applyProtection="0"/>
    <xf numFmtId="0" fontId="35" fillId="22" borderId="0" applyNumberFormat="0" applyBorder="0" applyAlignment="0" applyProtection="0"/>
    <xf numFmtId="0" fontId="38" fillId="46" borderId="0" applyNumberFormat="0" applyBorder="0" applyAlignment="0" applyProtection="0"/>
    <xf numFmtId="0" fontId="35" fillId="26" borderId="0" applyNumberFormat="0" applyBorder="0" applyAlignment="0" applyProtection="0"/>
    <xf numFmtId="0" fontId="38" fillId="47" borderId="0" applyNumberFormat="0" applyBorder="0" applyAlignment="0" applyProtection="0"/>
    <xf numFmtId="0" fontId="35" fillId="30" borderId="0" applyNumberFormat="0" applyBorder="0" applyAlignment="0" applyProtection="0"/>
    <xf numFmtId="0" fontId="38" fillId="48" borderId="0" applyNumberFormat="0" applyBorder="0" applyAlignment="0" applyProtection="0"/>
    <xf numFmtId="0" fontId="35" fillId="34" borderId="0" applyNumberFormat="0" applyBorder="0" applyAlignment="0" applyProtection="0"/>
    <xf numFmtId="0" fontId="38" fillId="49" borderId="0" applyNumberFormat="0" applyBorder="0" applyAlignment="0" applyProtection="0"/>
    <xf numFmtId="0" fontId="35" fillId="11" borderId="0" applyNumberFormat="0" applyBorder="0" applyAlignment="0" applyProtection="0"/>
    <xf numFmtId="0" fontId="38" fillId="50" borderId="0" applyNumberFormat="0" applyBorder="0" applyAlignment="0" applyProtection="0"/>
    <xf numFmtId="0" fontId="35" fillId="15" borderId="0" applyNumberFormat="0" applyBorder="0" applyAlignment="0" applyProtection="0"/>
    <xf numFmtId="0" fontId="38" fillId="51" borderId="0" applyNumberFormat="0" applyBorder="0" applyAlignment="0" applyProtection="0"/>
    <xf numFmtId="0" fontId="35" fillId="19" borderId="0" applyNumberFormat="0" applyBorder="0" applyAlignment="0" applyProtection="0"/>
    <xf numFmtId="0" fontId="38" fillId="46" borderId="0" applyNumberFormat="0" applyBorder="0" applyAlignment="0" applyProtection="0"/>
    <xf numFmtId="0" fontId="35" fillId="23" borderId="0" applyNumberFormat="0" applyBorder="0" applyAlignment="0" applyProtection="0"/>
    <xf numFmtId="0" fontId="38" fillId="47" borderId="0" applyNumberFormat="0" applyBorder="0" applyAlignment="0" applyProtection="0"/>
    <xf numFmtId="0" fontId="35" fillId="27" borderId="0" applyNumberFormat="0" applyBorder="0" applyAlignment="0" applyProtection="0"/>
    <xf numFmtId="0" fontId="38" fillId="52" borderId="0" applyNumberFormat="0" applyBorder="0" applyAlignment="0" applyProtection="0"/>
    <xf numFmtId="0" fontId="35" fillId="31" borderId="0" applyNumberFormat="0" applyBorder="0" applyAlignment="0" applyProtection="0"/>
    <xf numFmtId="0" fontId="39" fillId="36" borderId="0" applyNumberFormat="0" applyBorder="0" applyAlignment="0" applyProtection="0"/>
    <xf numFmtId="0" fontId="25" fillId="5" borderId="0" applyNumberFormat="0" applyBorder="0" applyAlignment="0" applyProtection="0"/>
    <xf numFmtId="0" fontId="40" fillId="53" borderId="27" applyNumberFormat="0" applyAlignment="0" applyProtection="0"/>
    <xf numFmtId="0" fontId="29" fillId="8" borderId="21" applyNumberFormat="0" applyAlignment="0" applyProtection="0"/>
    <xf numFmtId="0" fontId="41" fillId="54" borderId="28" applyNumberFormat="0" applyAlignment="0" applyProtection="0"/>
    <xf numFmtId="0" fontId="31" fillId="9" borderId="24" applyNumberFormat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4" fillId="4" borderId="0" applyNumberFormat="0" applyBorder="0" applyAlignment="0" applyProtection="0"/>
    <xf numFmtId="0" fontId="44" fillId="0" borderId="29" applyNumberFormat="0" applyFill="0" applyAlignment="0" applyProtection="0"/>
    <xf numFmtId="0" fontId="21" fillId="0" borderId="18" applyNumberFormat="0" applyFill="0" applyAlignment="0" applyProtection="0"/>
    <xf numFmtId="0" fontId="45" fillId="0" borderId="30" applyNumberFormat="0" applyFill="0" applyAlignment="0" applyProtection="0"/>
    <xf numFmtId="0" fontId="22" fillId="0" borderId="19" applyNumberFormat="0" applyFill="0" applyAlignment="0" applyProtection="0"/>
    <xf numFmtId="0" fontId="46" fillId="0" borderId="31" applyNumberFormat="0" applyFill="0" applyAlignment="0" applyProtection="0"/>
    <xf numFmtId="0" fontId="23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40" borderId="27" applyNumberFormat="0" applyAlignment="0" applyProtection="0"/>
    <xf numFmtId="0" fontId="27" fillId="7" borderId="21" applyNumberFormat="0" applyAlignment="0" applyProtection="0"/>
    <xf numFmtId="0" fontId="48" fillId="0" borderId="32" applyNumberFormat="0" applyFill="0" applyAlignment="0" applyProtection="0"/>
    <xf numFmtId="0" fontId="30" fillId="0" borderId="23" applyNumberFormat="0" applyFill="0" applyAlignment="0" applyProtection="0"/>
    <xf numFmtId="0" fontId="49" fillId="55" borderId="0" applyNumberFormat="0" applyBorder="0" applyAlignment="0" applyProtection="0"/>
    <xf numFmtId="0" fontId="26" fillId="6" borderId="0" applyNumberFormat="0" applyBorder="0" applyAlignment="0" applyProtection="0"/>
    <xf numFmtId="0" fontId="54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37" fillId="56" borderId="33" applyNumberFormat="0" applyFont="0" applyAlignment="0" applyProtection="0"/>
    <xf numFmtId="0" fontId="2" fillId="10" borderId="25" applyNumberFormat="0" applyFont="0" applyAlignment="0" applyProtection="0"/>
    <xf numFmtId="0" fontId="50" fillId="53" borderId="34" applyNumberFormat="0" applyAlignment="0" applyProtection="0"/>
    <xf numFmtId="0" fontId="28" fillId="8" borderId="22" applyNumberFormat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34" fillId="0" borderId="26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10" fillId="0" borderId="0" xfId="0" applyFont="1" applyAlignment="1">
      <alignment vertical="center"/>
    </xf>
    <xf numFmtId="165" fontId="10" fillId="0" borderId="0" xfId="1" applyNumberFormat="1" applyFont="1" applyAlignment="1">
      <alignment vertical="center"/>
    </xf>
    <xf numFmtId="167" fontId="10" fillId="0" borderId="0" xfId="1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3" xfId="0" quotePrefix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165" fontId="10" fillId="0" borderId="5" xfId="1" applyNumberFormat="1" applyFont="1" applyBorder="1" applyAlignment="1">
      <alignment vertical="center"/>
    </xf>
    <xf numFmtId="165" fontId="12" fillId="0" borderId="0" xfId="1" applyNumberFormat="1" applyFont="1" applyBorder="1" applyAlignment="1">
      <alignment vertical="center"/>
    </xf>
    <xf numFmtId="165" fontId="12" fillId="0" borderId="5" xfId="1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 indent="3"/>
    </xf>
    <xf numFmtId="0" fontId="10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65" fontId="12" fillId="0" borderId="7" xfId="1" applyNumberFormat="1" applyFont="1" applyBorder="1" applyAlignment="1">
      <alignment vertical="center"/>
    </xf>
    <xf numFmtId="165" fontId="12" fillId="0" borderId="8" xfId="1" applyNumberFormat="1" applyFont="1" applyBorder="1" applyAlignment="1">
      <alignment vertical="center"/>
    </xf>
    <xf numFmtId="0" fontId="11" fillId="2" borderId="0" xfId="0" applyFont="1" applyFill="1" applyAlignment="1">
      <alignment vertical="center"/>
    </xf>
    <xf numFmtId="166" fontId="10" fillId="2" borderId="0" xfId="5" applyNumberFormat="1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10" fillId="2" borderId="0" xfId="10" applyNumberFormat="1" applyFont="1" applyFill="1" applyAlignment="1">
      <alignment vertical="center"/>
    </xf>
    <xf numFmtId="168" fontId="10" fillId="2" borderId="0" xfId="10" applyNumberFormat="1" applyFont="1" applyFill="1" applyAlignment="1">
      <alignment vertical="center"/>
    </xf>
    <xf numFmtId="169" fontId="10" fillId="2" borderId="0" xfId="10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top"/>
    </xf>
    <xf numFmtId="9" fontId="10" fillId="2" borderId="0" xfId="10" applyFont="1" applyFill="1" applyAlignment="1">
      <alignment vertical="center"/>
    </xf>
    <xf numFmtId="164" fontId="10" fillId="2" borderId="0" xfId="1" applyNumberFormat="1" applyFont="1" applyFill="1" applyAlignment="1">
      <alignment vertical="center"/>
    </xf>
    <xf numFmtId="0" fontId="10" fillId="0" borderId="4" xfId="0" applyFont="1" applyBorder="1" applyAlignment="1">
      <alignment horizontal="left" vertical="top" indent="3"/>
    </xf>
    <xf numFmtId="165" fontId="14" fillId="0" borderId="0" xfId="1" applyNumberFormat="1" applyFont="1" applyBorder="1" applyAlignment="1">
      <alignment vertical="center"/>
    </xf>
    <xf numFmtId="165" fontId="14" fillId="0" borderId="5" xfId="1" applyNumberFormat="1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165" fontId="12" fillId="0" borderId="8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9" fontId="10" fillId="0" borderId="0" xfId="10" applyFont="1" applyBorder="1" applyAlignment="1">
      <alignment vertical="center"/>
    </xf>
    <xf numFmtId="9" fontId="10" fillId="0" borderId="5" xfId="10" applyFont="1" applyBorder="1" applyAlignment="1">
      <alignment vertical="center"/>
    </xf>
    <xf numFmtId="9" fontId="14" fillId="0" borderId="0" xfId="10" applyFont="1" applyBorder="1" applyAlignment="1">
      <alignment vertical="center"/>
    </xf>
    <xf numFmtId="9" fontId="14" fillId="0" borderId="5" xfId="10" applyFont="1" applyBorder="1" applyAlignment="1">
      <alignment vertical="center"/>
    </xf>
    <xf numFmtId="9" fontId="14" fillId="0" borderId="7" xfId="10" applyFont="1" applyBorder="1" applyAlignment="1">
      <alignment vertical="center"/>
    </xf>
    <xf numFmtId="9" fontId="14" fillId="0" borderId="8" xfId="1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2" xfId="0" quotePrefix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168" fontId="10" fillId="0" borderId="0" xfId="10" applyNumberFormat="1" applyFont="1" applyFill="1" applyBorder="1" applyAlignment="1">
      <alignment vertical="top"/>
    </xf>
    <xf numFmtId="169" fontId="10" fillId="0" borderId="0" xfId="10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165" fontId="10" fillId="0" borderId="0" xfId="1" applyNumberFormat="1" applyFont="1" applyFill="1" applyBorder="1" applyAlignment="1">
      <alignment vertical="top"/>
    </xf>
    <xf numFmtId="39" fontId="10" fillId="0" borderId="0" xfId="0" applyNumberFormat="1" applyFont="1" applyFill="1" applyBorder="1" applyAlignment="1">
      <alignment vertical="top"/>
    </xf>
    <xf numFmtId="167" fontId="10" fillId="0" borderId="0" xfId="10" applyNumberFormat="1" applyFont="1" applyFill="1" applyBorder="1" applyAlignment="1">
      <alignment vertical="top"/>
    </xf>
    <xf numFmtId="9" fontId="10" fillId="0" borderId="0" xfId="1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169" fontId="10" fillId="0" borderId="7" xfId="10" applyNumberFormat="1" applyFont="1" applyFill="1" applyBorder="1" applyAlignment="1">
      <alignment vertical="top"/>
    </xf>
    <xf numFmtId="0" fontId="17" fillId="0" borderId="8" xfId="0" applyFont="1" applyBorder="1" applyAlignment="1">
      <alignment horizontal="left" vertical="top" wrapText="1"/>
    </xf>
    <xf numFmtId="165" fontId="10" fillId="0" borderId="5" xfId="1" applyNumberFormat="1" applyFont="1" applyFill="1" applyBorder="1" applyAlignment="1">
      <alignment vertical="center"/>
    </xf>
    <xf numFmtId="0" fontId="17" fillId="0" borderId="5" xfId="0" applyFont="1" applyBorder="1" applyAlignment="1">
      <alignment vertical="top" wrapText="1"/>
    </xf>
    <xf numFmtId="165" fontId="10" fillId="3" borderId="0" xfId="1" applyNumberFormat="1" applyFont="1" applyFill="1" applyBorder="1" applyAlignment="1">
      <alignment vertical="center"/>
    </xf>
    <xf numFmtId="165" fontId="10" fillId="3" borderId="5" xfId="1" applyNumberFormat="1" applyFont="1" applyFill="1" applyBorder="1" applyAlignment="1">
      <alignment vertical="center"/>
    </xf>
    <xf numFmtId="165" fontId="12" fillId="3" borderId="0" xfId="1" applyNumberFormat="1" applyFont="1" applyFill="1" applyBorder="1" applyAlignment="1">
      <alignment vertical="center"/>
    </xf>
    <xf numFmtId="165" fontId="12" fillId="3" borderId="5" xfId="1" applyNumberFormat="1" applyFont="1" applyFill="1" applyBorder="1" applyAlignment="1">
      <alignment vertical="center"/>
    </xf>
    <xf numFmtId="165" fontId="12" fillId="3" borderId="0" xfId="0" applyNumberFormat="1" applyFont="1" applyFill="1" applyBorder="1" applyAlignment="1">
      <alignment vertical="center"/>
    </xf>
    <xf numFmtId="165" fontId="12" fillId="3" borderId="5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left" vertical="top" wrapText="1"/>
    </xf>
    <xf numFmtId="0" fontId="10" fillId="2" borderId="0" xfId="0" applyNumberFormat="1" applyFont="1" applyFill="1" applyBorder="1" applyAlignment="1">
      <alignment vertical="top"/>
    </xf>
    <xf numFmtId="165" fontId="10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9" fontId="10" fillId="0" borderId="0" xfId="10" applyNumberFormat="1" applyFont="1" applyFill="1" applyBorder="1" applyAlignment="1">
      <alignment vertical="top"/>
    </xf>
    <xf numFmtId="43" fontId="10" fillId="2" borderId="0" xfId="1" applyFont="1" applyFill="1" applyAlignment="1">
      <alignment vertical="center"/>
    </xf>
    <xf numFmtId="9" fontId="10" fillId="2" borderId="0" xfId="10" applyFont="1" applyFill="1" applyBorder="1" applyAlignment="1">
      <alignment vertical="top"/>
    </xf>
    <xf numFmtId="167" fontId="10" fillId="2" borderId="0" xfId="1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165" fontId="10" fillId="0" borderId="0" xfId="1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top" wrapText="1"/>
    </xf>
    <xf numFmtId="0" fontId="10" fillId="2" borderId="0" xfId="10" applyNumberFormat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10" fillId="2" borderId="0" xfId="1" applyNumberFormat="1" applyFont="1" applyFill="1" applyBorder="1" applyAlignment="1">
      <alignment vertical="top"/>
    </xf>
    <xf numFmtId="168" fontId="10" fillId="0" borderId="0" xfId="0" applyNumberFormat="1" applyFont="1" applyFill="1" applyBorder="1" applyAlignment="1">
      <alignment vertical="top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41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/>
    </xf>
    <xf numFmtId="166" fontId="19" fillId="0" borderId="0" xfId="5" applyNumberFormat="1" applyFont="1" applyFill="1" applyBorder="1" applyAlignment="1">
      <alignment vertical="center"/>
    </xf>
    <xf numFmtId="166" fontId="19" fillId="0" borderId="7" xfId="5" applyNumberFormat="1" applyFont="1" applyFill="1" applyBorder="1" applyAlignment="1">
      <alignment vertical="center"/>
    </xf>
    <xf numFmtId="0" fontId="56" fillId="0" borderId="4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19" fillId="57" borderId="0" xfId="0" applyFont="1" applyFill="1" applyAlignment="1">
      <alignment horizontal="center" vertical="center"/>
    </xf>
    <xf numFmtId="41" fontId="58" fillId="0" borderId="0" xfId="0" applyNumberFormat="1" applyFont="1" applyFill="1" applyBorder="1" applyAlignment="1">
      <alignment vertical="center"/>
    </xf>
    <xf numFmtId="43" fontId="5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57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9" fillId="57" borderId="2" xfId="0" applyFont="1" applyFill="1" applyBorder="1" applyAlignment="1">
      <alignment horizontal="center" vertical="center"/>
    </xf>
    <xf numFmtId="0" fontId="19" fillId="57" borderId="7" xfId="0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6" fontId="19" fillId="0" borderId="11" xfId="5" applyNumberFormat="1" applyFont="1" applyFill="1" applyBorder="1" applyAlignment="1">
      <alignment vertical="center"/>
    </xf>
    <xf numFmtId="166" fontId="19" fillId="0" borderId="10" xfId="5" applyNumberFormat="1" applyFont="1" applyFill="1" applyBorder="1" applyAlignment="1">
      <alignment vertical="center"/>
    </xf>
    <xf numFmtId="166" fontId="19" fillId="0" borderId="39" xfId="5" applyNumberFormat="1" applyFont="1" applyFill="1" applyBorder="1" applyAlignment="1">
      <alignment vertical="center"/>
    </xf>
    <xf numFmtId="166" fontId="19" fillId="0" borderId="15" xfId="5" applyNumberFormat="1" applyFont="1" applyFill="1" applyBorder="1" applyAlignment="1">
      <alignment vertical="center"/>
    </xf>
    <xf numFmtId="166" fontId="19" fillId="0" borderId="14" xfId="5" applyNumberFormat="1" applyFont="1" applyFill="1" applyBorder="1" applyAlignment="1">
      <alignment vertical="center"/>
    </xf>
    <xf numFmtId="166" fontId="19" fillId="0" borderId="40" xfId="5" applyNumberFormat="1" applyFont="1" applyFill="1" applyBorder="1" applyAlignment="1">
      <alignment vertical="center"/>
    </xf>
    <xf numFmtId="166" fontId="19" fillId="0" borderId="16" xfId="5" applyNumberFormat="1" applyFont="1" applyFill="1" applyBorder="1" applyAlignment="1">
      <alignment vertical="center"/>
    </xf>
    <xf numFmtId="166" fontId="19" fillId="0" borderId="2" xfId="5" applyNumberFormat="1" applyFont="1" applyFill="1" applyBorder="1" applyAlignment="1">
      <alignment vertical="center"/>
    </xf>
    <xf numFmtId="166" fontId="19" fillId="0" borderId="17" xfId="5" applyNumberFormat="1" applyFont="1" applyFill="1" applyBorder="1" applyAlignment="1">
      <alignment vertical="center"/>
    </xf>
    <xf numFmtId="166" fontId="19" fillId="0" borderId="41" xfId="5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right" vertical="center"/>
    </xf>
    <xf numFmtId="166" fontId="19" fillId="0" borderId="49" xfId="5" applyNumberFormat="1" applyFont="1" applyFill="1" applyBorder="1" applyAlignment="1">
      <alignment vertical="center"/>
    </xf>
    <xf numFmtId="166" fontId="19" fillId="0" borderId="50" xfId="5" applyNumberFormat="1" applyFont="1" applyFill="1" applyBorder="1" applyAlignment="1">
      <alignment vertical="center"/>
    </xf>
    <xf numFmtId="166" fontId="19" fillId="0" borderId="51" xfId="5" applyNumberFormat="1" applyFont="1" applyFill="1" applyBorder="1" applyAlignment="1">
      <alignment vertical="center"/>
    </xf>
    <xf numFmtId="166" fontId="19" fillId="0" borderId="52" xfId="5" applyNumberFormat="1" applyFont="1" applyFill="1" applyBorder="1" applyAlignment="1">
      <alignment vertical="center"/>
    </xf>
    <xf numFmtId="166" fontId="19" fillId="0" borderId="53" xfId="5" applyNumberFormat="1" applyFont="1" applyFill="1" applyBorder="1" applyAlignment="1">
      <alignment vertical="center"/>
    </xf>
    <xf numFmtId="0" fontId="18" fillId="58" borderId="44" xfId="0" applyFont="1" applyFill="1" applyBorder="1" applyAlignment="1">
      <alignment horizontal="center" vertical="center" wrapText="1"/>
    </xf>
    <xf numFmtId="166" fontId="19" fillId="58" borderId="36" xfId="5" applyNumberFormat="1" applyFont="1" applyFill="1" applyBorder="1" applyAlignment="1">
      <alignment vertical="center"/>
    </xf>
    <xf numFmtId="166" fontId="19" fillId="58" borderId="37" xfId="5" applyNumberFormat="1" applyFont="1" applyFill="1" applyBorder="1" applyAlignment="1">
      <alignment vertical="center"/>
    </xf>
    <xf numFmtId="166" fontId="19" fillId="58" borderId="38" xfId="5" applyNumberFormat="1" applyFont="1" applyFill="1" applyBorder="1" applyAlignment="1">
      <alignment vertical="center"/>
    </xf>
    <xf numFmtId="166" fontId="19" fillId="58" borderId="52" xfId="5" applyNumberFormat="1" applyFont="1" applyFill="1" applyBorder="1" applyAlignment="1">
      <alignment vertical="center"/>
    </xf>
    <xf numFmtId="0" fontId="18" fillId="58" borderId="47" xfId="0" applyFont="1" applyFill="1" applyBorder="1" applyAlignment="1">
      <alignment horizontal="center" vertical="center" wrapText="1"/>
    </xf>
    <xf numFmtId="166" fontId="19" fillId="58" borderId="12" xfId="5" applyNumberFormat="1" applyFont="1" applyFill="1" applyBorder="1" applyAlignment="1">
      <alignment vertical="center"/>
    </xf>
    <xf numFmtId="166" fontId="19" fillId="58" borderId="13" xfId="5" applyNumberFormat="1" applyFont="1" applyFill="1" applyBorder="1" applyAlignment="1">
      <alignment vertical="center"/>
    </xf>
    <xf numFmtId="166" fontId="19" fillId="58" borderId="48" xfId="5" applyNumberFormat="1" applyFont="1" applyFill="1" applyBorder="1" applyAlignment="1">
      <alignment vertical="center"/>
    </xf>
    <xf numFmtId="0" fontId="18" fillId="59" borderId="47" xfId="0" applyFont="1" applyFill="1" applyBorder="1" applyAlignment="1">
      <alignment horizontal="center" vertical="center" wrapText="1"/>
    </xf>
    <xf numFmtId="166" fontId="19" fillId="59" borderId="12" xfId="5" applyNumberFormat="1" applyFont="1" applyFill="1" applyBorder="1" applyAlignment="1">
      <alignment vertical="center"/>
    </xf>
    <xf numFmtId="166" fontId="19" fillId="59" borderId="13" xfId="5" applyNumberFormat="1" applyFont="1" applyFill="1" applyBorder="1" applyAlignment="1">
      <alignment vertical="center"/>
    </xf>
    <xf numFmtId="166" fontId="19" fillId="59" borderId="48" xfId="5" applyNumberFormat="1" applyFont="1" applyFill="1" applyBorder="1" applyAlignment="1">
      <alignment vertical="center"/>
    </xf>
    <xf numFmtId="0" fontId="56" fillId="0" borderId="42" xfId="124" applyFont="1" applyFill="1" applyBorder="1" applyAlignment="1">
      <alignment horizontal="center" vertical="center" wrapText="1"/>
    </xf>
    <xf numFmtId="166" fontId="59" fillId="0" borderId="0" xfId="125" applyNumberFormat="1" applyFont="1" applyAlignment="1">
      <alignment wrapText="1"/>
    </xf>
    <xf numFmtId="0" fontId="18" fillId="0" borderId="42" xfId="124" applyFont="1" applyFill="1" applyBorder="1" applyAlignment="1">
      <alignment horizontal="center" vertical="center" wrapText="1"/>
    </xf>
    <xf numFmtId="0" fontId="18" fillId="0" borderId="43" xfId="124" applyFont="1" applyFill="1" applyBorder="1" applyAlignment="1">
      <alignment horizontal="center" vertical="center" wrapText="1"/>
    </xf>
    <xf numFmtId="0" fontId="18" fillId="0" borderId="44" xfId="124" applyFont="1" applyFill="1" applyBorder="1" applyAlignment="1">
      <alignment horizontal="center" vertical="center" wrapText="1"/>
    </xf>
    <xf numFmtId="0" fontId="18" fillId="58" borderId="43" xfId="124" applyFont="1" applyFill="1" applyBorder="1" applyAlignment="1">
      <alignment horizontal="center" vertical="center" wrapText="1"/>
    </xf>
    <xf numFmtId="0" fontId="59" fillId="0" borderId="0" xfId="124" applyFont="1"/>
    <xf numFmtId="0" fontId="60" fillId="0" borderId="0" xfId="124" applyFont="1"/>
    <xf numFmtId="166" fontId="60" fillId="0" borderId="0" xfId="125" applyNumberFormat="1" applyFont="1"/>
    <xf numFmtId="166" fontId="19" fillId="0" borderId="11" xfId="125" applyNumberFormat="1" applyFont="1" applyFill="1" applyBorder="1" applyAlignment="1">
      <alignment vertical="center"/>
    </xf>
    <xf numFmtId="166" fontId="19" fillId="0" borderId="0" xfId="125" applyNumberFormat="1" applyFont="1" applyFill="1" applyBorder="1" applyAlignment="1">
      <alignment vertical="center"/>
    </xf>
    <xf numFmtId="166" fontId="19" fillId="0" borderId="36" xfId="125" applyNumberFormat="1" applyFont="1" applyFill="1" applyBorder="1" applyAlignment="1">
      <alignment vertical="center"/>
    </xf>
    <xf numFmtId="166" fontId="19" fillId="58" borderId="0" xfId="125" applyNumberFormat="1" applyFont="1" applyFill="1" applyBorder="1" applyAlignment="1">
      <alignment vertical="center"/>
    </xf>
    <xf numFmtId="0" fontId="60" fillId="0" borderId="7" xfId="124" applyFont="1" applyBorder="1"/>
    <xf numFmtId="166" fontId="19" fillId="0" borderId="15" xfId="125" applyNumberFormat="1" applyFont="1" applyFill="1" applyBorder="1" applyAlignment="1">
      <alignment vertical="center"/>
    </xf>
    <xf numFmtId="166" fontId="19" fillId="0" borderId="7" xfId="125" applyNumberFormat="1" applyFont="1" applyFill="1" applyBorder="1" applyAlignment="1">
      <alignment vertical="center"/>
    </xf>
    <xf numFmtId="166" fontId="19" fillId="0" borderId="37" xfId="125" applyNumberFormat="1" applyFont="1" applyFill="1" applyBorder="1" applyAlignment="1">
      <alignment vertical="center"/>
    </xf>
    <xf numFmtId="166" fontId="19" fillId="58" borderId="7" xfId="125" applyNumberFormat="1" applyFont="1" applyFill="1" applyBorder="1" applyAlignment="1">
      <alignment vertical="center"/>
    </xf>
    <xf numFmtId="166" fontId="19" fillId="0" borderId="16" xfId="125" applyNumberFormat="1" applyFont="1" applyFill="1" applyBorder="1" applyAlignment="1">
      <alignment vertical="center"/>
    </xf>
    <xf numFmtId="166" fontId="19" fillId="0" borderId="2" xfId="125" applyNumberFormat="1" applyFont="1" applyFill="1" applyBorder="1" applyAlignment="1">
      <alignment vertical="center"/>
    </xf>
    <xf numFmtId="166" fontId="19" fillId="0" borderId="38" xfId="125" applyNumberFormat="1" applyFont="1" applyFill="1" applyBorder="1" applyAlignment="1">
      <alignment vertical="center"/>
    </xf>
    <xf numFmtId="166" fontId="19" fillId="58" borderId="2" xfId="125" applyNumberFormat="1" applyFont="1" applyFill="1" applyBorder="1" applyAlignment="1">
      <alignment vertical="center"/>
    </xf>
    <xf numFmtId="0" fontId="19" fillId="0" borderId="11" xfId="124" applyFont="1" applyFill="1" applyBorder="1" applyAlignment="1">
      <alignment horizontal="right" vertical="center"/>
    </xf>
    <xf numFmtId="166" fontId="61" fillId="0" borderId="0" xfId="125" applyNumberFormat="1" applyFont="1"/>
    <xf numFmtId="166" fontId="60" fillId="0" borderId="54" xfId="125" applyNumberFormat="1" applyFont="1" applyBorder="1"/>
    <xf numFmtId="166" fontId="60" fillId="58" borderId="54" xfId="125" applyNumberFormat="1" applyFont="1" applyFill="1" applyBorder="1"/>
    <xf numFmtId="0" fontId="61" fillId="0" borderId="0" xfId="124" applyFont="1"/>
    <xf numFmtId="0" fontId="60" fillId="0" borderId="0" xfId="124" applyFont="1" applyFill="1"/>
    <xf numFmtId="165" fontId="60" fillId="0" borderId="0" xfId="126" applyNumberFormat="1" applyFont="1"/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1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27">
    <cellStyle name="20% - Accent1 2" xfId="16"/>
    <cellStyle name="20% - Accent1 3" xfId="15"/>
    <cellStyle name="20% - Accent2 2" xfId="18"/>
    <cellStyle name="20% - Accent2 3" xfId="17"/>
    <cellStyle name="20% - Accent3 2" xfId="20"/>
    <cellStyle name="20% - Accent3 3" xfId="19"/>
    <cellStyle name="20% - Accent4 2" xfId="22"/>
    <cellStyle name="20% - Accent4 3" xfId="21"/>
    <cellStyle name="20% - Accent5 2" xfId="24"/>
    <cellStyle name="20% - Accent5 3" xfId="23"/>
    <cellStyle name="20% - Accent6 2" xfId="26"/>
    <cellStyle name="20% - Accent6 3" xfId="25"/>
    <cellStyle name="40% - Accent1 2" xfId="28"/>
    <cellStyle name="40% - Accent1 3" xfId="27"/>
    <cellStyle name="40% - Accent2 2" xfId="30"/>
    <cellStyle name="40% - Accent2 3" xfId="29"/>
    <cellStyle name="40% - Accent3 2" xfId="32"/>
    <cellStyle name="40% - Accent3 3" xfId="31"/>
    <cellStyle name="40% - Accent4 2" xfId="34"/>
    <cellStyle name="40% - Accent4 3" xfId="33"/>
    <cellStyle name="40% - Accent5 2" xfId="36"/>
    <cellStyle name="40% - Accent5 3" xfId="35"/>
    <cellStyle name="40% - Accent6 2" xfId="38"/>
    <cellStyle name="40% - Accent6 3" xfId="37"/>
    <cellStyle name="60% - Accent1 2" xfId="40"/>
    <cellStyle name="60% - Accent1 3" xfId="39"/>
    <cellStyle name="60% - Accent2 2" xfId="42"/>
    <cellStyle name="60% - Accent2 3" xfId="41"/>
    <cellStyle name="60% - Accent3 2" xfId="44"/>
    <cellStyle name="60% - Accent3 3" xfId="43"/>
    <cellStyle name="60% - Accent4 2" xfId="46"/>
    <cellStyle name="60% - Accent4 3" xfId="45"/>
    <cellStyle name="60% - Accent5 2" xfId="48"/>
    <cellStyle name="60% - Accent5 3" xfId="47"/>
    <cellStyle name="60% - Accent6 2" xfId="50"/>
    <cellStyle name="60% - Accent6 3" xfId="49"/>
    <cellStyle name="Accent1 2" xfId="52"/>
    <cellStyle name="Accent1 3" xfId="51"/>
    <cellStyle name="Accent2 2" xfId="54"/>
    <cellStyle name="Accent2 3" xfId="53"/>
    <cellStyle name="Accent3 2" xfId="56"/>
    <cellStyle name="Accent3 3" xfId="55"/>
    <cellStyle name="Accent4 2" xfId="58"/>
    <cellStyle name="Accent4 3" xfId="57"/>
    <cellStyle name="Accent5 2" xfId="60"/>
    <cellStyle name="Accent5 3" xfId="59"/>
    <cellStyle name="Accent6 2" xfId="62"/>
    <cellStyle name="Accent6 3" xfId="61"/>
    <cellStyle name="Bad 2" xfId="64"/>
    <cellStyle name="Bad 3" xfId="63"/>
    <cellStyle name="Calculation 2" xfId="66"/>
    <cellStyle name="Calculation 3" xfId="65"/>
    <cellStyle name="Check Cell 2" xfId="68"/>
    <cellStyle name="Check Cell 3" xfId="67"/>
    <cellStyle name="Comma" xfId="1" builtinId="3"/>
    <cellStyle name="Comma 2" xfId="2"/>
    <cellStyle name="Comma 2 2" xfId="3"/>
    <cellStyle name="Comma 2 2 2" xfId="70"/>
    <cellStyle name="Comma 2 3" xfId="71"/>
    <cellStyle name="Comma 2 4" xfId="69"/>
    <cellStyle name="Comma 3" xfId="4"/>
    <cellStyle name="Comma 3 2" xfId="72"/>
    <cellStyle name="Comma 4" xfId="73"/>
    <cellStyle name="Comma 4 2" xfId="74"/>
    <cellStyle name="Comma 5" xfId="75"/>
    <cellStyle name="Comma 6" xfId="126"/>
    <cellStyle name="Currency" xfId="5" builtinId="4"/>
    <cellStyle name="Currency 2" xfId="6"/>
    <cellStyle name="Currency 2 2" xfId="7"/>
    <cellStyle name="Currency 2 2 2" xfId="77"/>
    <cellStyle name="Currency 2 3" xfId="76"/>
    <cellStyle name="Currency 3" xfId="8"/>
    <cellStyle name="Currency 3 2" xfId="78"/>
    <cellStyle name="Currency 4" xfId="125"/>
    <cellStyle name="Explanatory Text 2" xfId="80"/>
    <cellStyle name="Explanatory Text 3" xfId="79"/>
    <cellStyle name="Good 2" xfId="82"/>
    <cellStyle name="Good 3" xfId="81"/>
    <cellStyle name="Heading 1 2" xfId="84"/>
    <cellStyle name="Heading 1 3" xfId="83"/>
    <cellStyle name="Heading 2 2" xfId="86"/>
    <cellStyle name="Heading 2 3" xfId="85"/>
    <cellStyle name="Heading 3 2" xfId="88"/>
    <cellStyle name="Heading 3 3" xfId="87"/>
    <cellStyle name="Heading 4 2" xfId="90"/>
    <cellStyle name="Heading 4 3" xfId="89"/>
    <cellStyle name="Input 2" xfId="92"/>
    <cellStyle name="Input 3" xfId="91"/>
    <cellStyle name="Linked Cell 2" xfId="94"/>
    <cellStyle name="Linked Cell 3" xfId="93"/>
    <cellStyle name="Neutral 2" xfId="96"/>
    <cellStyle name="Neutral 3" xfId="95"/>
    <cellStyle name="Normal" xfId="0" builtinId="0"/>
    <cellStyle name="Normal 2" xfId="9"/>
    <cellStyle name="Normal 2 2" xfId="98"/>
    <cellStyle name="Normal 2 3" xfId="99"/>
    <cellStyle name="Normal 2 4" xfId="97"/>
    <cellStyle name="Normal 3" xfId="100"/>
    <cellStyle name="Normal 3 2" xfId="101"/>
    <cellStyle name="Normal 3 3" xfId="102"/>
    <cellStyle name="Normal 4" xfId="103"/>
    <cellStyle name="Normal 5" xfId="104"/>
    <cellStyle name="Normal 5 2" xfId="105"/>
    <cellStyle name="Normal 5 3" xfId="106"/>
    <cellStyle name="Normal 5 4" xfId="107"/>
    <cellStyle name="Normal 6" xfId="108"/>
    <cellStyle name="Normal 6 2" xfId="109"/>
    <cellStyle name="Normal 7" xfId="110"/>
    <cellStyle name="Normal 8" xfId="14"/>
    <cellStyle name="Normal 9" xfId="124"/>
    <cellStyle name="Note 2" xfId="112"/>
    <cellStyle name="Note 3" xfId="111"/>
    <cellStyle name="Output 2" xfId="114"/>
    <cellStyle name="Output 3" xfId="113"/>
    <cellStyle name="Percent" xfId="10" builtinId="5"/>
    <cellStyle name="Percent 2" xfId="11"/>
    <cellStyle name="Percent 2 2" xfId="12"/>
    <cellStyle name="Percent 2 2 2" xfId="116"/>
    <cellStyle name="Percent 2 3" xfId="115"/>
    <cellStyle name="Percent 3" xfId="13"/>
    <cellStyle name="Percent 3 2" xfId="117"/>
    <cellStyle name="Title 2" xfId="119"/>
    <cellStyle name="Title 3" xfId="118"/>
    <cellStyle name="Total 2" xfId="121"/>
    <cellStyle name="Total 3" xfId="120"/>
    <cellStyle name="Warning Text 2" xfId="123"/>
    <cellStyle name="Warning Text 3" xfId="1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Meridian_2012-2013_Annual%20Budget_201206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YouthBuild_2012-2013_Annual%20Budget_201206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National%20Collegiate%20Prep_2012-2013_Annual%20Budget_201206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Potomac%20Lighthouse_2012-2013_Annual%20Budget_201205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Roots_2012-2013_Annual%20Budget_201205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St%20Coletta_2012-2013_Annual%20Budget_201205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Thurgood%20Marshall_2012-2013_Annual%20Budget_201205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Tree%20of%20Life_2012-2013_Annual%20Budget_2012053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Washington%20Latin_2012-2013_Annual%20Budget_2012052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fowler\Local%20Settings\Temporary%20Internet%20Files\Content.Outlook\28CNYNF6\Washington%20Math%20Science_2012-2013_Annual%20Budget_201206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heet2"/>
      <sheetName val="Sheet3"/>
      <sheetName val="From Pro Forma"/>
    </sheetNames>
    <sheetDataSet>
      <sheetData sheetId="0">
        <row r="49">
          <cell r="E49">
            <v>867104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B13">
            <v>1857029.86</v>
          </cell>
        </row>
        <row r="19">
          <cell r="B19">
            <v>682226</v>
          </cell>
        </row>
        <row r="23">
          <cell r="B23">
            <v>55250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 refreshError="1"/>
      <sheetData sheetId="1" refreshError="1"/>
      <sheetData sheetId="2">
        <row r="96">
          <cell r="C96">
            <v>5022049.7999047618</v>
          </cell>
        </row>
      </sheetData>
      <sheetData sheetId="3">
        <row r="33">
          <cell r="C33">
            <v>312410.37806087825</v>
          </cell>
        </row>
      </sheetData>
      <sheetData sheetId="4">
        <row r="31">
          <cell r="C31">
            <v>91289.240472222213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Budget"/>
      <sheetName val="Cash Flow"/>
      <sheetName val="Sheet3"/>
    </sheetNames>
    <sheetDataSet>
      <sheetData sheetId="0">
        <row r="5">
          <cell r="F5">
            <v>4429404.0477981651</v>
          </cell>
        </row>
        <row r="6">
          <cell r="F6">
            <v>1193400</v>
          </cell>
        </row>
        <row r="7">
          <cell r="F7">
            <v>463851.83119266061</v>
          </cell>
        </row>
        <row r="8">
          <cell r="F8">
            <v>75600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BUDGET"/>
    </sheetNames>
    <sheetDataSet>
      <sheetData sheetId="0">
        <row r="19">
          <cell r="D19">
            <v>1000</v>
          </cell>
        </row>
        <row r="22">
          <cell r="D22">
            <v>20004</v>
          </cell>
        </row>
        <row r="23">
          <cell r="D23">
            <v>6000</v>
          </cell>
        </row>
        <row r="24">
          <cell r="D24">
            <v>2400</v>
          </cell>
        </row>
        <row r="27">
          <cell r="D27">
            <v>3170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12864905</v>
          </cell>
        </row>
        <row r="11">
          <cell r="D11">
            <v>170000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A Budget FY13"/>
    </sheetNames>
    <sheetDataSet>
      <sheetData sheetId="0">
        <row r="6">
          <cell r="B6">
            <v>4148865.28</v>
          </cell>
        </row>
        <row r="17">
          <cell r="B17">
            <v>279163.8</v>
          </cell>
        </row>
        <row r="39">
          <cell r="B39">
            <v>1097600</v>
          </cell>
        </row>
        <row r="61">
          <cell r="B61">
            <v>381565.67999999993</v>
          </cell>
        </row>
        <row r="73">
          <cell r="B73">
            <v>354827</v>
          </cell>
        </row>
        <row r="84">
          <cell r="B84">
            <v>86340</v>
          </cell>
        </row>
        <row r="95">
          <cell r="B95">
            <v>261855.85333333333</v>
          </cell>
        </row>
        <row r="107">
          <cell r="B107">
            <v>670612.28</v>
          </cell>
        </row>
        <row r="128">
          <cell r="B128">
            <v>259355</v>
          </cell>
        </row>
        <row r="140">
          <cell r="B140">
            <v>1015651</v>
          </cell>
        </row>
        <row r="152">
          <cell r="B152">
            <v>25500</v>
          </cell>
        </row>
        <row r="163">
          <cell r="B163">
            <v>600</v>
          </cell>
        </row>
        <row r="174">
          <cell r="B174">
            <v>6000</v>
          </cell>
        </row>
        <row r="186">
          <cell r="B186">
            <v>225000</v>
          </cell>
        </row>
        <row r="197">
          <cell r="B197">
            <v>76250</v>
          </cell>
        </row>
        <row r="208">
          <cell r="B208">
            <v>40000</v>
          </cell>
        </row>
        <row r="220">
          <cell r="B220">
            <v>7000</v>
          </cell>
        </row>
        <row r="231">
          <cell r="B231">
            <v>4500</v>
          </cell>
        </row>
        <row r="242">
          <cell r="B242">
            <v>2500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&amp; YTD"/>
      <sheetName val="other_staff"/>
    </sheetNames>
    <sheetDataSet>
      <sheetData sheetId="0">
        <row r="10">
          <cell r="N10">
            <v>349000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Budget FY13 Detailed"/>
      <sheetName val="Salaries"/>
      <sheetName val="Cash Flow"/>
      <sheetName val="Balance Sheet 06.30.12"/>
      <sheetName val="PerPupil"/>
      <sheetName val="OSSE PYT %"/>
      <sheetName val="Meals and Insurance"/>
      <sheetName val="Athetics"/>
      <sheetName val="FY11 actual"/>
      <sheetName val="YTD FY12"/>
    </sheetNames>
    <sheetDataSet>
      <sheetData sheetId="0"/>
      <sheetData sheetId="1">
        <row r="9">
          <cell r="B9">
            <v>6371858.0429999987</v>
          </cell>
        </row>
        <row r="12">
          <cell r="B12">
            <v>1782000</v>
          </cell>
        </row>
        <row r="15">
          <cell r="B15">
            <v>30000</v>
          </cell>
        </row>
        <row r="19">
          <cell r="B19">
            <v>100000</v>
          </cell>
        </row>
        <row r="21">
          <cell r="B21">
            <v>25000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3749025.09</v>
          </cell>
        </row>
        <row r="6">
          <cell r="C6">
            <v>326000</v>
          </cell>
        </row>
        <row r="7">
          <cell r="C7">
            <v>996800</v>
          </cell>
        </row>
        <row r="8">
          <cell r="C8">
            <v>472350</v>
          </cell>
        </row>
        <row r="9">
          <cell r="C9">
            <v>60000</v>
          </cell>
        </row>
        <row r="10">
          <cell r="C10">
            <v>63000</v>
          </cell>
        </row>
        <row r="11">
          <cell r="C11">
            <v>102000</v>
          </cell>
        </row>
        <row r="14">
          <cell r="C14">
            <v>290444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topLeftCell="B1" zoomScaleNormal="100" zoomScaleSheetLayoutView="110" workbookViewId="0">
      <pane xSplit="1" ySplit="1" topLeftCell="C6" activePane="bottomRight" state="frozen"/>
      <selection activeCell="B1" sqref="B1"/>
      <selection pane="topRight" activeCell="C1" sqref="C1"/>
      <selection pane="bottomLeft" activeCell="B2" sqref="B2"/>
      <selection pane="bottomRight" activeCell="O32" sqref="O32"/>
    </sheetView>
  </sheetViews>
  <sheetFormatPr defaultColWidth="8.85546875" defaultRowHeight="18.75" x14ac:dyDescent="0.2"/>
  <cols>
    <col min="1" max="1" width="6.28515625" style="131" hidden="1" customWidth="1"/>
    <col min="2" max="2" width="57.28515625" style="121" customWidth="1"/>
    <col min="3" max="12" width="13.7109375" style="53" customWidth="1"/>
    <col min="13" max="14" width="13.7109375" style="125" customWidth="1"/>
    <col min="15" max="15" width="12.42578125" style="53" customWidth="1"/>
    <col min="16" max="16384" width="8.85546875" style="53"/>
  </cols>
  <sheetData>
    <row r="1" spans="1:15" s="103" customFormat="1" ht="60.6" customHeight="1" thickTop="1" thickBot="1" x14ac:dyDescent="0.25">
      <c r="A1" s="104" t="s">
        <v>179</v>
      </c>
      <c r="B1" s="120" t="s">
        <v>100</v>
      </c>
      <c r="C1" s="113" t="s">
        <v>183</v>
      </c>
      <c r="D1" s="114" t="s">
        <v>188</v>
      </c>
      <c r="E1" s="114" t="s">
        <v>189</v>
      </c>
      <c r="F1" s="148" t="s">
        <v>180</v>
      </c>
      <c r="G1" s="114" t="s">
        <v>191</v>
      </c>
      <c r="H1" s="114" t="s">
        <v>192</v>
      </c>
      <c r="I1" s="114" t="s">
        <v>190</v>
      </c>
      <c r="J1" s="115" t="s">
        <v>193</v>
      </c>
      <c r="K1" s="116" t="s">
        <v>181</v>
      </c>
      <c r="L1" s="157" t="s">
        <v>182</v>
      </c>
      <c r="M1" s="153" t="s">
        <v>195</v>
      </c>
      <c r="N1" s="153" t="s">
        <v>196</v>
      </c>
      <c r="O1" s="127"/>
    </row>
    <row r="2" spans="1:15" s="107" customFormat="1" ht="15" customHeight="1" x14ac:dyDescent="0.2">
      <c r="A2" s="122">
        <v>1</v>
      </c>
      <c r="B2" s="109" t="s">
        <v>112</v>
      </c>
      <c r="C2" s="132">
        <v>2747474</v>
      </c>
      <c r="D2" s="118">
        <v>279201</v>
      </c>
      <c r="E2" s="118">
        <v>265448</v>
      </c>
      <c r="F2" s="149">
        <v>3292123</v>
      </c>
      <c r="G2" s="118">
        <v>1870142</v>
      </c>
      <c r="H2" s="118">
        <v>545400</v>
      </c>
      <c r="I2" s="118">
        <v>451424</v>
      </c>
      <c r="J2" s="133">
        <v>287250</v>
      </c>
      <c r="K2" s="134">
        <v>3154216</v>
      </c>
      <c r="L2" s="158">
        <v>137907</v>
      </c>
      <c r="M2" s="154">
        <v>602834</v>
      </c>
      <c r="N2" s="154">
        <v>483365</v>
      </c>
    </row>
    <row r="3" spans="1:15" s="107" customFormat="1" ht="15" customHeight="1" x14ac:dyDescent="0.2">
      <c r="A3" s="122">
        <v>2</v>
      </c>
      <c r="B3" s="109" t="s">
        <v>116</v>
      </c>
      <c r="C3" s="132">
        <v>10085050</v>
      </c>
      <c r="D3" s="118">
        <v>810728</v>
      </c>
      <c r="E3" s="118">
        <v>302957</v>
      </c>
      <c r="F3" s="149">
        <v>11198735</v>
      </c>
      <c r="G3" s="118">
        <v>6953220</v>
      </c>
      <c r="H3" s="118">
        <v>2078105</v>
      </c>
      <c r="I3" s="118">
        <v>1043720</v>
      </c>
      <c r="J3" s="133">
        <v>817495.48</v>
      </c>
      <c r="K3" s="134">
        <v>10892540</v>
      </c>
      <c r="L3" s="158">
        <v>306195</v>
      </c>
      <c r="M3" s="154">
        <v>1995012</v>
      </c>
      <c r="N3" s="154">
        <v>1264656</v>
      </c>
    </row>
    <row r="4" spans="1:15" s="107" customFormat="1" ht="15" customHeight="1" x14ac:dyDescent="0.2">
      <c r="A4" s="122">
        <v>3</v>
      </c>
      <c r="B4" s="109" t="s">
        <v>115</v>
      </c>
      <c r="C4" s="132">
        <v>9073847</v>
      </c>
      <c r="D4" s="118">
        <v>1318071</v>
      </c>
      <c r="E4" s="118">
        <v>380543</v>
      </c>
      <c r="F4" s="149">
        <v>10772461</v>
      </c>
      <c r="G4" s="118">
        <v>7204312</v>
      </c>
      <c r="H4" s="118">
        <f>1604179+65560</f>
        <v>1669739</v>
      </c>
      <c r="I4" s="118">
        <v>1155075</v>
      </c>
      <c r="J4" s="133">
        <v>868648</v>
      </c>
      <c r="K4" s="134">
        <v>10897774</v>
      </c>
      <c r="L4" s="158">
        <v>-125313</v>
      </c>
      <c r="M4" s="154">
        <v>4916328</v>
      </c>
      <c r="N4" s="154">
        <v>2176908</v>
      </c>
    </row>
    <row r="5" spans="1:15" s="107" customFormat="1" ht="15" customHeight="1" x14ac:dyDescent="0.2">
      <c r="A5" s="122">
        <v>4</v>
      </c>
      <c r="B5" s="109" t="s">
        <v>114</v>
      </c>
      <c r="C5" s="132">
        <v>5306572</v>
      </c>
      <c r="D5" s="118">
        <v>464895</v>
      </c>
      <c r="E5" s="118">
        <v>205589</v>
      </c>
      <c r="F5" s="149">
        <v>5977056</v>
      </c>
      <c r="G5" s="118">
        <v>3847734</v>
      </c>
      <c r="H5" s="118">
        <v>1118397</v>
      </c>
      <c r="I5" s="118">
        <v>470732</v>
      </c>
      <c r="J5" s="133">
        <v>267234</v>
      </c>
      <c r="K5" s="134">
        <v>5704097</v>
      </c>
      <c r="L5" s="158">
        <v>272959</v>
      </c>
      <c r="M5" s="154">
        <v>185772</v>
      </c>
      <c r="N5" s="154">
        <v>83302</v>
      </c>
    </row>
    <row r="6" spans="1:15" s="107" customFormat="1" ht="15" customHeight="1" x14ac:dyDescent="0.2">
      <c r="A6" s="126">
        <v>5</v>
      </c>
      <c r="B6" s="109" t="s">
        <v>113</v>
      </c>
      <c r="C6" s="132">
        <v>1988714</v>
      </c>
      <c r="D6" s="118">
        <v>10453</v>
      </c>
      <c r="E6" s="118">
        <v>217249.00000000023</v>
      </c>
      <c r="F6" s="149">
        <v>2216416</v>
      </c>
      <c r="G6" s="118">
        <v>1382460</v>
      </c>
      <c r="H6" s="118">
        <v>243959</v>
      </c>
      <c r="I6" s="118">
        <v>314640</v>
      </c>
      <c r="J6" s="133">
        <v>245952</v>
      </c>
      <c r="K6" s="134">
        <v>2187011</v>
      </c>
      <c r="L6" s="158">
        <v>29405</v>
      </c>
      <c r="M6" s="154">
        <v>296392.65000000002</v>
      </c>
      <c r="N6" s="154">
        <v>273312</v>
      </c>
    </row>
    <row r="7" spans="1:15" s="107" customFormat="1" ht="15" customHeight="1" x14ac:dyDescent="0.2">
      <c r="A7" s="122">
        <v>6</v>
      </c>
      <c r="B7" s="109" t="s">
        <v>117</v>
      </c>
      <c r="C7" s="132">
        <v>10897563</v>
      </c>
      <c r="D7" s="118">
        <v>1793078</v>
      </c>
      <c r="E7" s="118">
        <v>2537828</v>
      </c>
      <c r="F7" s="149">
        <v>15228469</v>
      </c>
      <c r="G7" s="118">
        <v>7574133</v>
      </c>
      <c r="H7" s="118">
        <v>2362254</v>
      </c>
      <c r="I7" s="118">
        <v>933576</v>
      </c>
      <c r="J7" s="133">
        <v>963889</v>
      </c>
      <c r="K7" s="134">
        <v>11833852</v>
      </c>
      <c r="L7" s="158">
        <v>3394617</v>
      </c>
      <c r="M7" s="154">
        <v>8246144</v>
      </c>
      <c r="N7" s="154">
        <v>3249120</v>
      </c>
    </row>
    <row r="8" spans="1:15" s="107" customFormat="1" ht="15" customHeight="1" x14ac:dyDescent="0.2">
      <c r="A8" s="122">
        <v>7</v>
      </c>
      <c r="B8" s="109" t="s">
        <v>119</v>
      </c>
      <c r="C8" s="132">
        <v>21858083</v>
      </c>
      <c r="D8" s="118">
        <v>284033</v>
      </c>
      <c r="E8" s="118">
        <v>668805</v>
      </c>
      <c r="F8" s="149">
        <v>22810921</v>
      </c>
      <c r="G8" s="118">
        <v>9523551</v>
      </c>
      <c r="H8" s="118">
        <v>4139409</v>
      </c>
      <c r="I8" s="118">
        <v>592145</v>
      </c>
      <c r="J8" s="133">
        <v>1953521</v>
      </c>
      <c r="K8" s="134">
        <v>16208626</v>
      </c>
      <c r="L8" s="158">
        <v>6602295</v>
      </c>
      <c r="M8" s="154">
        <v>19674042</v>
      </c>
      <c r="N8" s="154">
        <f>7163223+1494000</f>
        <v>8657223</v>
      </c>
    </row>
    <row r="9" spans="1:15" s="107" customFormat="1" ht="15" customHeight="1" x14ac:dyDescent="0.2">
      <c r="A9" s="126">
        <v>8</v>
      </c>
      <c r="B9" s="109" t="s">
        <v>120</v>
      </c>
      <c r="C9" s="132">
        <v>20708045</v>
      </c>
      <c r="D9" s="118">
        <v>3626319</v>
      </c>
      <c r="E9" s="118">
        <v>210029</v>
      </c>
      <c r="F9" s="149">
        <v>24544393</v>
      </c>
      <c r="G9" s="118">
        <v>14241792</v>
      </c>
      <c r="H9" s="118">
        <v>3918135</v>
      </c>
      <c r="I9" s="118">
        <v>4493018</v>
      </c>
      <c r="J9" s="133">
        <v>1803310</v>
      </c>
      <c r="K9" s="134">
        <v>24456255</v>
      </c>
      <c r="L9" s="158">
        <v>88138</v>
      </c>
      <c r="M9" s="154">
        <v>2560595</v>
      </c>
      <c r="N9" s="154">
        <v>2655627</v>
      </c>
    </row>
    <row r="10" spans="1:15" s="107" customFormat="1" ht="15" customHeight="1" x14ac:dyDescent="0.2">
      <c r="A10" s="122">
        <v>9</v>
      </c>
      <c r="B10" s="109" t="s">
        <v>121</v>
      </c>
      <c r="C10" s="132">
        <v>21925509</v>
      </c>
      <c r="D10" s="118">
        <v>3330530</v>
      </c>
      <c r="E10" s="118">
        <v>476415</v>
      </c>
      <c r="F10" s="149">
        <v>25732454</v>
      </c>
      <c r="G10" s="118">
        <v>15061809</v>
      </c>
      <c r="H10" s="118">
        <v>3395083</v>
      </c>
      <c r="I10" s="118">
        <v>2332156</v>
      </c>
      <c r="J10" s="133">
        <v>4269477</v>
      </c>
      <c r="K10" s="134">
        <v>25058525</v>
      </c>
      <c r="L10" s="158">
        <v>673929</v>
      </c>
      <c r="M10" s="154">
        <v>12662866</v>
      </c>
      <c r="N10" s="154">
        <f>4207769+2542400+259885</f>
        <v>7010054</v>
      </c>
    </row>
    <row r="11" spans="1:15" s="107" customFormat="1" ht="15" customHeight="1" x14ac:dyDescent="0.2">
      <c r="A11" s="122">
        <v>10</v>
      </c>
      <c r="B11" s="109" t="s">
        <v>122</v>
      </c>
      <c r="C11" s="132">
        <v>29107885</v>
      </c>
      <c r="D11" s="118">
        <v>2348305</v>
      </c>
      <c r="E11" s="118">
        <v>1051279</v>
      </c>
      <c r="F11" s="149">
        <v>32507469</v>
      </c>
      <c r="G11" s="118">
        <v>18454865</v>
      </c>
      <c r="H11" s="118">
        <v>5084256</v>
      </c>
      <c r="I11" s="118">
        <v>2974317</v>
      </c>
      <c r="J11" s="133">
        <v>4616239</v>
      </c>
      <c r="K11" s="134">
        <v>31129677</v>
      </c>
      <c r="L11" s="158">
        <v>1377792</v>
      </c>
      <c r="M11" s="154">
        <v>6416594</v>
      </c>
      <c r="N11" s="154">
        <f>674142+2658700</f>
        <v>3332842</v>
      </c>
    </row>
    <row r="12" spans="1:15" s="107" customFormat="1" ht="15" customHeight="1" x14ac:dyDescent="0.2">
      <c r="A12" s="122">
        <v>11</v>
      </c>
      <c r="B12" s="109" t="s">
        <v>123</v>
      </c>
      <c r="C12" s="132">
        <v>14411012</v>
      </c>
      <c r="D12" s="118">
        <v>2765292</v>
      </c>
      <c r="E12" s="118">
        <f>1565968+68921</f>
        <v>1634889</v>
      </c>
      <c r="F12" s="149">
        <f>18742272+68921</f>
        <v>18811193</v>
      </c>
      <c r="G12" s="118">
        <v>11706040</v>
      </c>
      <c r="H12" s="118">
        <v>2291605</v>
      </c>
      <c r="I12" s="118">
        <v>1430038</v>
      </c>
      <c r="J12" s="133">
        <f>1258514-1</f>
        <v>1258513</v>
      </c>
      <c r="K12" s="134">
        <v>16686196</v>
      </c>
      <c r="L12" s="158">
        <v>2124997</v>
      </c>
      <c r="M12" s="154">
        <v>11272018</v>
      </c>
      <c r="N12" s="154">
        <v>6606450</v>
      </c>
    </row>
    <row r="13" spans="1:15" s="112" customFormat="1" ht="15" customHeight="1" x14ac:dyDescent="0.2">
      <c r="A13" s="129">
        <v>12</v>
      </c>
      <c r="B13" s="117" t="s">
        <v>197</v>
      </c>
      <c r="C13" s="135">
        <v>6072075</v>
      </c>
      <c r="D13" s="119">
        <v>621010</v>
      </c>
      <c r="E13" s="119">
        <v>264381</v>
      </c>
      <c r="F13" s="150">
        <v>6957466</v>
      </c>
      <c r="G13" s="119">
        <v>4374125</v>
      </c>
      <c r="H13" s="119">
        <v>1135548</v>
      </c>
      <c r="I13" s="119">
        <v>762039</v>
      </c>
      <c r="J13" s="136">
        <v>1353210</v>
      </c>
      <c r="K13" s="137">
        <v>7624922</v>
      </c>
      <c r="L13" s="159">
        <v>-667456</v>
      </c>
      <c r="M13" s="155">
        <v>539751</v>
      </c>
      <c r="N13" s="155">
        <v>123047</v>
      </c>
    </row>
    <row r="14" spans="1:15" s="107" customFormat="1" ht="15" customHeight="1" x14ac:dyDescent="0.2">
      <c r="A14" s="128">
        <v>13</v>
      </c>
      <c r="B14" s="109" t="s">
        <v>147</v>
      </c>
      <c r="C14" s="132">
        <v>10168072</v>
      </c>
      <c r="D14" s="118">
        <v>1793742</v>
      </c>
      <c r="E14" s="118">
        <v>566219</v>
      </c>
      <c r="F14" s="149">
        <v>12528033</v>
      </c>
      <c r="G14" s="118">
        <v>7188805</v>
      </c>
      <c r="H14" s="118">
        <v>1922571.04</v>
      </c>
      <c r="I14" s="118">
        <v>967834</v>
      </c>
      <c r="J14" s="133">
        <v>1312997.18</v>
      </c>
      <c r="K14" s="134">
        <v>11392207</v>
      </c>
      <c r="L14" s="158">
        <v>1135826</v>
      </c>
      <c r="M14" s="154">
        <v>3486345</v>
      </c>
      <c r="N14" s="154">
        <v>942034</v>
      </c>
    </row>
    <row r="15" spans="1:15" s="107" customFormat="1" ht="15" customHeight="1" x14ac:dyDescent="0.2">
      <c r="A15" s="108">
        <v>14</v>
      </c>
      <c r="B15" s="109" t="s">
        <v>157</v>
      </c>
      <c r="C15" s="132">
        <v>3760788</v>
      </c>
      <c r="D15" s="118">
        <v>782622</v>
      </c>
      <c r="E15" s="118">
        <v>151320</v>
      </c>
      <c r="F15" s="149">
        <v>4694730</v>
      </c>
      <c r="G15" s="118">
        <v>2674690</v>
      </c>
      <c r="H15" s="118">
        <v>914381</v>
      </c>
      <c r="I15" s="118">
        <v>455991</v>
      </c>
      <c r="J15" s="133">
        <v>192055</v>
      </c>
      <c r="K15" s="134">
        <v>4237117</v>
      </c>
      <c r="L15" s="158">
        <v>457613</v>
      </c>
      <c r="M15" s="154">
        <v>2634090</v>
      </c>
      <c r="N15" s="154">
        <v>2668858</v>
      </c>
    </row>
    <row r="16" spans="1:15" s="107" customFormat="1" ht="15" customHeight="1" x14ac:dyDescent="0.2">
      <c r="A16" s="122">
        <v>15</v>
      </c>
      <c r="B16" s="109" t="s">
        <v>148</v>
      </c>
      <c r="C16" s="132">
        <v>4097628</v>
      </c>
      <c r="D16" s="118">
        <v>132724</v>
      </c>
      <c r="E16" s="118">
        <v>125618</v>
      </c>
      <c r="F16" s="149">
        <v>4355970</v>
      </c>
      <c r="G16" s="118">
        <v>2006013</v>
      </c>
      <c r="H16" s="118">
        <v>491091</v>
      </c>
      <c r="I16" s="118">
        <v>137292</v>
      </c>
      <c r="J16" s="133">
        <v>476061</v>
      </c>
      <c r="K16" s="134">
        <v>3110457</v>
      </c>
      <c r="L16" s="158">
        <v>1245513</v>
      </c>
      <c r="M16" s="154">
        <v>6656046</v>
      </c>
      <c r="N16" s="154">
        <v>6254916</v>
      </c>
    </row>
    <row r="17" spans="1:32" s="107" customFormat="1" ht="15" customHeight="1" x14ac:dyDescent="0.2">
      <c r="A17" s="122">
        <v>16</v>
      </c>
      <c r="B17" s="109" t="s">
        <v>158</v>
      </c>
      <c r="C17" s="132">
        <v>5636318</v>
      </c>
      <c r="D17" s="118">
        <v>945147</v>
      </c>
      <c r="E17" s="118">
        <v>469924</v>
      </c>
      <c r="F17" s="149">
        <v>7051389</v>
      </c>
      <c r="G17" s="118">
        <v>4729907</v>
      </c>
      <c r="H17" s="118">
        <v>881851</v>
      </c>
      <c r="I17" s="118">
        <v>631662</v>
      </c>
      <c r="J17" s="133">
        <v>500384</v>
      </c>
      <c r="K17" s="134">
        <v>6743804</v>
      </c>
      <c r="L17" s="158">
        <v>307585</v>
      </c>
      <c r="M17" s="154">
        <v>2353371</v>
      </c>
      <c r="N17" s="154">
        <v>468395</v>
      </c>
    </row>
    <row r="18" spans="1:32" s="107" customFormat="1" ht="15" customHeight="1" x14ac:dyDescent="0.2">
      <c r="A18" s="122">
        <v>17</v>
      </c>
      <c r="B18" s="109" t="s">
        <v>171</v>
      </c>
      <c r="C18" s="132">
        <v>13186785</v>
      </c>
      <c r="D18" s="118">
        <v>3685394</v>
      </c>
      <c r="E18" s="118">
        <v>3788275</v>
      </c>
      <c r="F18" s="149">
        <v>20660454</v>
      </c>
      <c r="G18" s="118">
        <v>11404421</v>
      </c>
      <c r="H18" s="118">
        <v>4996456.08</v>
      </c>
      <c r="I18" s="118">
        <v>1149276</v>
      </c>
      <c r="J18" s="133">
        <v>5115678.2299999995</v>
      </c>
      <c r="K18" s="134">
        <v>22665831</v>
      </c>
      <c r="L18" s="158">
        <v>-2005377</v>
      </c>
      <c r="M18" s="154">
        <v>-2306714</v>
      </c>
      <c r="N18" s="154">
        <f>3767987+8085232</f>
        <v>11853219</v>
      </c>
    </row>
    <row r="19" spans="1:32" s="107" customFormat="1" ht="15" customHeight="1" x14ac:dyDescent="0.2">
      <c r="A19" s="122">
        <v>18</v>
      </c>
      <c r="B19" s="109" t="s">
        <v>149</v>
      </c>
      <c r="C19" s="132">
        <v>5499970</v>
      </c>
      <c r="D19" s="118">
        <v>633212</v>
      </c>
      <c r="E19" s="118">
        <v>637926</v>
      </c>
      <c r="F19" s="149">
        <v>6771108</v>
      </c>
      <c r="G19" s="118">
        <v>4189479</v>
      </c>
      <c r="H19" s="118">
        <v>1231748</v>
      </c>
      <c r="I19" s="118">
        <v>585140</v>
      </c>
      <c r="J19" s="133">
        <v>464990</v>
      </c>
      <c r="K19" s="134">
        <v>6471357</v>
      </c>
      <c r="L19" s="158">
        <v>299751</v>
      </c>
      <c r="M19" s="154">
        <v>1438649</v>
      </c>
      <c r="N19" s="154">
        <v>1324292</v>
      </c>
    </row>
    <row r="20" spans="1:32" s="107" customFormat="1" ht="15" customHeight="1" x14ac:dyDescent="0.2">
      <c r="A20" s="122">
        <v>19</v>
      </c>
      <c r="B20" s="109" t="s">
        <v>176</v>
      </c>
      <c r="C20" s="132">
        <v>59659218</v>
      </c>
      <c r="D20" s="118">
        <v>8183873</v>
      </c>
      <c r="E20" s="118">
        <v>3412038</v>
      </c>
      <c r="F20" s="149">
        <v>71255129</v>
      </c>
      <c r="G20" s="118">
        <v>41012648</v>
      </c>
      <c r="H20" s="118">
        <v>12077226</v>
      </c>
      <c r="I20" s="118">
        <v>6077069</v>
      </c>
      <c r="J20" s="133">
        <v>9546679</v>
      </c>
      <c r="K20" s="134">
        <v>68713622</v>
      </c>
      <c r="L20" s="158">
        <v>2541507</v>
      </c>
      <c r="M20" s="154">
        <v>20464718</v>
      </c>
      <c r="N20" s="154">
        <f>11946718+6090006</f>
        <v>18036724</v>
      </c>
    </row>
    <row r="21" spans="1:32" s="107" customFormat="1" ht="15" customHeight="1" x14ac:dyDescent="0.2">
      <c r="A21" s="122">
        <v>20</v>
      </c>
      <c r="B21" s="109" t="s">
        <v>156</v>
      </c>
      <c r="C21" s="132">
        <v>13237757</v>
      </c>
      <c r="D21" s="118">
        <v>1368189</v>
      </c>
      <c r="E21" s="118">
        <v>179620</v>
      </c>
      <c r="F21" s="149">
        <v>14785566</v>
      </c>
      <c r="G21" s="118">
        <v>7082428</v>
      </c>
      <c r="H21" s="118">
        <v>3015894</v>
      </c>
      <c r="I21" s="118">
        <v>1561960</v>
      </c>
      <c r="J21" s="133">
        <v>2254860</v>
      </c>
      <c r="K21" s="134">
        <v>13915142</v>
      </c>
      <c r="L21" s="158">
        <v>870424</v>
      </c>
      <c r="M21" s="154">
        <v>-69837</v>
      </c>
      <c r="N21" s="154">
        <v>1809410</v>
      </c>
    </row>
    <row r="22" spans="1:32" s="107" customFormat="1" ht="15" customHeight="1" x14ac:dyDescent="0.2">
      <c r="A22" s="122">
        <v>21</v>
      </c>
      <c r="B22" s="109" t="s">
        <v>151</v>
      </c>
      <c r="C22" s="132">
        <v>3447566</v>
      </c>
      <c r="D22" s="118">
        <v>1402065</v>
      </c>
      <c r="E22" s="118">
        <v>872502</v>
      </c>
      <c r="F22" s="149">
        <v>5722133</v>
      </c>
      <c r="G22" s="118">
        <v>2439603</v>
      </c>
      <c r="H22" s="118">
        <v>474082</v>
      </c>
      <c r="I22" s="118">
        <v>758761</v>
      </c>
      <c r="J22" s="133">
        <v>316241</v>
      </c>
      <c r="K22" s="134">
        <v>3988687</v>
      </c>
      <c r="L22" s="158">
        <v>1733446</v>
      </c>
      <c r="M22" s="154">
        <v>2668408</v>
      </c>
      <c r="N22" s="154">
        <v>338602</v>
      </c>
    </row>
    <row r="23" spans="1:32" s="107" customFormat="1" ht="15" customHeight="1" x14ac:dyDescent="0.2">
      <c r="A23" s="126">
        <v>22</v>
      </c>
      <c r="B23" s="109" t="s">
        <v>144</v>
      </c>
      <c r="C23" s="132">
        <v>11774900</v>
      </c>
      <c r="D23" s="118">
        <v>2020085</v>
      </c>
      <c r="E23" s="118">
        <v>202465</v>
      </c>
      <c r="F23" s="149">
        <v>13997450</v>
      </c>
      <c r="G23" s="118">
        <v>7035994</v>
      </c>
      <c r="H23" s="118">
        <v>1352835</v>
      </c>
      <c r="I23" s="118">
        <v>1827158</v>
      </c>
      <c r="J23" s="133">
        <v>1512880</v>
      </c>
      <c r="K23" s="134">
        <v>11728867</v>
      </c>
      <c r="L23" s="158">
        <v>2268583</v>
      </c>
      <c r="M23" s="154">
        <v>10026965</v>
      </c>
      <c r="N23" s="154">
        <f>7638820+516062</f>
        <v>8154882</v>
      </c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</row>
    <row r="24" spans="1:32" s="107" customFormat="1" ht="15" customHeight="1" x14ac:dyDescent="0.2">
      <c r="A24" s="122">
        <v>23</v>
      </c>
      <c r="B24" s="109" t="s">
        <v>152</v>
      </c>
      <c r="C24" s="132">
        <v>4164755</v>
      </c>
      <c r="D24" s="118">
        <v>381399</v>
      </c>
      <c r="E24" s="118">
        <v>1855238</v>
      </c>
      <c r="F24" s="149">
        <v>6401392</v>
      </c>
      <c r="G24" s="118">
        <v>4547519</v>
      </c>
      <c r="H24" s="118">
        <v>1090037</v>
      </c>
      <c r="I24" s="118">
        <v>643019</v>
      </c>
      <c r="J24" s="133">
        <v>674857</v>
      </c>
      <c r="K24" s="134">
        <v>6955432</v>
      </c>
      <c r="L24" s="158">
        <v>-554040</v>
      </c>
      <c r="M24" s="154">
        <v>915895</v>
      </c>
      <c r="N24" s="154">
        <v>506597</v>
      </c>
    </row>
    <row r="25" spans="1:32" s="112" customFormat="1" ht="15" customHeight="1" x14ac:dyDescent="0.2">
      <c r="A25" s="110">
        <v>24</v>
      </c>
      <c r="B25" s="117" t="s">
        <v>198</v>
      </c>
      <c r="C25" s="132">
        <v>5501075</v>
      </c>
      <c r="D25" s="118">
        <v>614847</v>
      </c>
      <c r="E25" s="118">
        <v>615623</v>
      </c>
      <c r="F25" s="149">
        <v>6731545</v>
      </c>
      <c r="G25" s="118">
        <v>4606904</v>
      </c>
      <c r="H25" s="118">
        <v>1429583</v>
      </c>
      <c r="I25" s="118">
        <v>485780</v>
      </c>
      <c r="J25" s="133">
        <v>314489</v>
      </c>
      <c r="K25" s="134">
        <v>6836756</v>
      </c>
      <c r="L25" s="159">
        <v>-105211</v>
      </c>
      <c r="M25" s="155">
        <v>947771</v>
      </c>
      <c r="N25" s="155"/>
    </row>
    <row r="26" spans="1:32" s="107" customFormat="1" ht="15" customHeight="1" x14ac:dyDescent="0.2">
      <c r="A26" s="128">
        <v>25</v>
      </c>
      <c r="B26" s="109" t="s">
        <v>172</v>
      </c>
      <c r="C26" s="138">
        <v>8249008</v>
      </c>
      <c r="D26" s="139">
        <v>906240</v>
      </c>
      <c r="E26" s="139">
        <v>218864</v>
      </c>
      <c r="F26" s="151">
        <v>9374112</v>
      </c>
      <c r="G26" s="139">
        <v>4464486</v>
      </c>
      <c r="H26" s="139">
        <v>1726621</v>
      </c>
      <c r="I26" s="139">
        <v>819416</v>
      </c>
      <c r="J26" s="140">
        <v>2118276.09</v>
      </c>
      <c r="K26" s="141">
        <v>9128799</v>
      </c>
      <c r="L26" s="158">
        <v>245313</v>
      </c>
      <c r="M26" s="154">
        <v>732074</v>
      </c>
      <c r="N26" s="154">
        <v>1155306</v>
      </c>
    </row>
    <row r="27" spans="1:32" s="107" customFormat="1" ht="15" customHeight="1" x14ac:dyDescent="0.2">
      <c r="A27" s="106">
        <v>26</v>
      </c>
      <c r="B27" s="109" t="s">
        <v>185</v>
      </c>
      <c r="C27" s="132">
        <v>2016650</v>
      </c>
      <c r="D27" s="118">
        <v>319647</v>
      </c>
      <c r="E27" s="118">
        <v>197413</v>
      </c>
      <c r="F27" s="149">
        <v>2533710</v>
      </c>
      <c r="G27" s="118">
        <v>1394420</v>
      </c>
      <c r="H27" s="118">
        <v>374735</v>
      </c>
      <c r="I27" s="118">
        <v>140273</v>
      </c>
      <c r="J27" s="133">
        <v>308424</v>
      </c>
      <c r="K27" s="134">
        <v>2217852</v>
      </c>
      <c r="L27" s="158">
        <v>315858</v>
      </c>
      <c r="M27" s="154">
        <v>679626</v>
      </c>
      <c r="N27" s="154">
        <v>629984</v>
      </c>
    </row>
    <row r="28" spans="1:32" s="107" customFormat="1" ht="15" customHeight="1" x14ac:dyDescent="0.2">
      <c r="A28" s="126">
        <v>27</v>
      </c>
      <c r="B28" s="109" t="s">
        <v>153</v>
      </c>
      <c r="C28" s="132">
        <v>6206309</v>
      </c>
      <c r="D28" s="118">
        <v>1811884</v>
      </c>
      <c r="E28" s="118">
        <v>268151</v>
      </c>
      <c r="F28" s="149">
        <v>8286344</v>
      </c>
      <c r="G28" s="118">
        <v>5341570</v>
      </c>
      <c r="H28" s="118">
        <v>588214.94999999995</v>
      </c>
      <c r="I28" s="118">
        <v>1525361</v>
      </c>
      <c r="J28" s="133">
        <v>929165</v>
      </c>
      <c r="K28" s="134">
        <v>8384311</v>
      </c>
      <c r="L28" s="158">
        <v>-97967</v>
      </c>
      <c r="M28" s="154">
        <v>4523060</v>
      </c>
      <c r="N28" s="154">
        <f>1054762+2200</f>
        <v>1056962</v>
      </c>
    </row>
    <row r="29" spans="1:32" s="107" customFormat="1" ht="15" customHeight="1" x14ac:dyDescent="0.2">
      <c r="A29" s="126">
        <v>28</v>
      </c>
      <c r="B29" s="109" t="s">
        <v>118</v>
      </c>
      <c r="C29" s="132">
        <v>41184540</v>
      </c>
      <c r="D29" s="118">
        <v>8350920</v>
      </c>
      <c r="E29" s="118">
        <v>4607668</v>
      </c>
      <c r="F29" s="149">
        <v>54143128</v>
      </c>
      <c r="G29" s="118">
        <v>25351645</v>
      </c>
      <c r="H29" s="118">
        <v>7320937</v>
      </c>
      <c r="I29" s="118">
        <v>6053075</v>
      </c>
      <c r="J29" s="133">
        <v>3256561</v>
      </c>
      <c r="K29" s="134">
        <v>41982218</v>
      </c>
      <c r="L29" s="158">
        <v>12160910</v>
      </c>
      <c r="M29" s="154">
        <v>61161034</v>
      </c>
      <c r="N29" s="154">
        <f>20926629+21831442+1225000+4272751+1239641</f>
        <v>49495463</v>
      </c>
    </row>
    <row r="30" spans="1:32" s="107" customFormat="1" ht="15" customHeight="1" x14ac:dyDescent="0.2">
      <c r="A30" s="126">
        <v>29</v>
      </c>
      <c r="B30" s="109" t="s">
        <v>154</v>
      </c>
      <c r="C30" s="132">
        <v>4664366</v>
      </c>
      <c r="D30" s="118">
        <v>382352</v>
      </c>
      <c r="E30" s="118">
        <v>316143</v>
      </c>
      <c r="F30" s="149">
        <v>5362861</v>
      </c>
      <c r="G30" s="118">
        <v>2839913</v>
      </c>
      <c r="H30" s="118">
        <v>1022849</v>
      </c>
      <c r="I30" s="118">
        <v>432820</v>
      </c>
      <c r="J30" s="133">
        <v>244448</v>
      </c>
      <c r="K30" s="134">
        <v>4540030</v>
      </c>
      <c r="L30" s="158">
        <v>822831</v>
      </c>
      <c r="M30" s="154">
        <v>3375256</v>
      </c>
      <c r="N30" s="154">
        <v>1746776</v>
      </c>
    </row>
    <row r="31" spans="1:32" s="107" customFormat="1" ht="15" customHeight="1" x14ac:dyDescent="0.2">
      <c r="A31" s="126">
        <v>30</v>
      </c>
      <c r="B31" s="109" t="s">
        <v>170</v>
      </c>
      <c r="C31" s="132">
        <v>1763019</v>
      </c>
      <c r="D31" s="118">
        <v>654791</v>
      </c>
      <c r="E31" s="118">
        <v>167503</v>
      </c>
      <c r="F31" s="149">
        <v>2585313</v>
      </c>
      <c r="G31" s="118">
        <v>1456935</v>
      </c>
      <c r="H31" s="118">
        <v>345302</v>
      </c>
      <c r="I31" s="118">
        <v>552586</v>
      </c>
      <c r="J31" s="133">
        <v>204932</v>
      </c>
      <c r="K31" s="134">
        <v>2559755</v>
      </c>
      <c r="L31" s="158">
        <v>25558</v>
      </c>
      <c r="M31" s="154">
        <v>955528</v>
      </c>
      <c r="N31" s="154">
        <f>360285+324740</f>
        <v>685025</v>
      </c>
    </row>
    <row r="32" spans="1:32" s="107" customFormat="1" ht="15" customHeight="1" x14ac:dyDescent="0.2">
      <c r="A32" s="122">
        <v>31</v>
      </c>
      <c r="B32" s="109" t="s">
        <v>159</v>
      </c>
      <c r="C32" s="132">
        <v>5169047</v>
      </c>
      <c r="D32" s="118">
        <v>604834</v>
      </c>
      <c r="E32" s="118">
        <v>58879</v>
      </c>
      <c r="F32" s="149">
        <v>5832760</v>
      </c>
      <c r="G32" s="118">
        <v>3968071</v>
      </c>
      <c r="H32" s="118">
        <v>346493</v>
      </c>
      <c r="I32" s="118">
        <v>705397</v>
      </c>
      <c r="J32" s="133">
        <v>298572</v>
      </c>
      <c r="K32" s="134">
        <v>5318533</v>
      </c>
      <c r="L32" s="158">
        <v>514227</v>
      </c>
      <c r="M32" s="154">
        <v>687177.7</v>
      </c>
      <c r="N32" s="154">
        <v>1184195</v>
      </c>
    </row>
    <row r="33" spans="1:32" s="107" customFormat="1" ht="15" customHeight="1" x14ac:dyDescent="0.2">
      <c r="A33" s="122">
        <v>32</v>
      </c>
      <c r="B33" s="109" t="s">
        <v>145</v>
      </c>
      <c r="C33" s="132">
        <v>10023799</v>
      </c>
      <c r="D33" s="118">
        <v>1226295</v>
      </c>
      <c r="E33" s="118">
        <v>9795</v>
      </c>
      <c r="F33" s="149">
        <v>11259889</v>
      </c>
      <c r="G33" s="118">
        <v>7433823</v>
      </c>
      <c r="H33" s="118">
        <v>591283</v>
      </c>
      <c r="I33" s="118">
        <v>1924731</v>
      </c>
      <c r="J33" s="133">
        <v>960109</v>
      </c>
      <c r="K33" s="134">
        <v>10909946</v>
      </c>
      <c r="L33" s="158">
        <v>349943</v>
      </c>
      <c r="M33" s="154">
        <v>81731</v>
      </c>
      <c r="N33" s="154">
        <v>301444</v>
      </c>
    </row>
    <row r="34" spans="1:32" s="107" customFormat="1" ht="15" customHeight="1" x14ac:dyDescent="0.2">
      <c r="A34" s="122">
        <v>33</v>
      </c>
      <c r="B34" s="109" t="s">
        <v>173</v>
      </c>
      <c r="C34" s="132">
        <v>8480391</v>
      </c>
      <c r="D34" s="118">
        <v>1909401</v>
      </c>
      <c r="E34" s="118">
        <v>1115724</v>
      </c>
      <c r="F34" s="149">
        <v>11505516</v>
      </c>
      <c r="G34" s="118">
        <v>6057816</v>
      </c>
      <c r="H34" s="118">
        <v>1339126</v>
      </c>
      <c r="I34" s="118">
        <v>1172462</v>
      </c>
      <c r="J34" s="133">
        <v>620917</v>
      </c>
      <c r="K34" s="134">
        <v>9190321</v>
      </c>
      <c r="L34" s="158">
        <v>2315195</v>
      </c>
      <c r="M34" s="154">
        <v>6559179</v>
      </c>
      <c r="N34" s="154">
        <v>12614302</v>
      </c>
    </row>
    <row r="35" spans="1:32" s="107" customFormat="1" ht="15" customHeight="1" x14ac:dyDescent="0.2">
      <c r="A35" s="126">
        <v>34</v>
      </c>
      <c r="B35" s="109" t="s">
        <v>184</v>
      </c>
      <c r="C35" s="132">
        <v>2031795</v>
      </c>
      <c r="D35" s="118">
        <v>403331</v>
      </c>
      <c r="E35" s="118">
        <v>594733</v>
      </c>
      <c r="F35" s="149">
        <v>3029859</v>
      </c>
      <c r="G35" s="118">
        <v>1380934</v>
      </c>
      <c r="H35" s="118">
        <v>293283</v>
      </c>
      <c r="I35" s="118">
        <v>228444</v>
      </c>
      <c r="J35" s="133">
        <v>356688</v>
      </c>
      <c r="K35" s="134">
        <v>2259349</v>
      </c>
      <c r="L35" s="158">
        <v>770510</v>
      </c>
      <c r="M35" s="154">
        <v>943426</v>
      </c>
      <c r="N35" s="154">
        <v>733061</v>
      </c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</row>
    <row r="36" spans="1:32" s="107" customFormat="1" ht="15" customHeight="1" x14ac:dyDescent="0.2">
      <c r="A36" s="122">
        <v>35</v>
      </c>
      <c r="B36" s="109" t="s">
        <v>155</v>
      </c>
      <c r="C36" s="132">
        <v>3130965</v>
      </c>
      <c r="D36" s="118">
        <v>350512</v>
      </c>
      <c r="E36" s="118">
        <v>90980</v>
      </c>
      <c r="F36" s="149">
        <v>3572457</v>
      </c>
      <c r="G36" s="118">
        <v>2374235</v>
      </c>
      <c r="H36" s="118">
        <v>568558.35</v>
      </c>
      <c r="I36" s="118">
        <v>463996</v>
      </c>
      <c r="J36" s="133">
        <v>356345</v>
      </c>
      <c r="K36" s="134">
        <v>3763134</v>
      </c>
      <c r="L36" s="158">
        <v>-190677</v>
      </c>
      <c r="M36" s="154">
        <v>32959</v>
      </c>
      <c r="N36" s="154">
        <v>5684</v>
      </c>
    </row>
    <row r="37" spans="1:32" s="112" customFormat="1" ht="15" customHeight="1" x14ac:dyDescent="0.2">
      <c r="A37" s="129">
        <v>36</v>
      </c>
      <c r="B37" s="117" t="s">
        <v>160</v>
      </c>
      <c r="C37" s="135">
        <v>2761014</v>
      </c>
      <c r="D37" s="119">
        <v>129704</v>
      </c>
      <c r="E37" s="119">
        <v>803675</v>
      </c>
      <c r="F37" s="150">
        <v>3694393</v>
      </c>
      <c r="G37" s="119">
        <v>1926437</v>
      </c>
      <c r="H37" s="119">
        <v>355125</v>
      </c>
      <c r="I37" s="119">
        <v>213483.02000000002</v>
      </c>
      <c r="J37" s="136">
        <v>313302</v>
      </c>
      <c r="K37" s="137">
        <v>2808347</v>
      </c>
      <c r="L37" s="159">
        <v>886046</v>
      </c>
      <c r="M37" s="155">
        <v>2188801</v>
      </c>
      <c r="N37" s="155">
        <v>803364</v>
      </c>
    </row>
    <row r="38" spans="1:32" s="107" customFormat="1" ht="15" customHeight="1" x14ac:dyDescent="0.2">
      <c r="A38" s="122">
        <v>37</v>
      </c>
      <c r="B38" s="109" t="s">
        <v>161</v>
      </c>
      <c r="C38" s="132">
        <v>11514825</v>
      </c>
      <c r="D38" s="118">
        <v>2084957</v>
      </c>
      <c r="E38" s="118">
        <v>109427</v>
      </c>
      <c r="F38" s="149">
        <v>13709209</v>
      </c>
      <c r="G38" s="118">
        <v>9343459</v>
      </c>
      <c r="H38" s="118">
        <v>1522809</v>
      </c>
      <c r="I38" s="118">
        <v>1310402</v>
      </c>
      <c r="J38" s="133">
        <v>1127783</v>
      </c>
      <c r="K38" s="134">
        <v>13304453</v>
      </c>
      <c r="L38" s="158">
        <v>404756</v>
      </c>
      <c r="M38" s="154">
        <v>4689869</v>
      </c>
      <c r="N38" s="154">
        <v>2236597</v>
      </c>
    </row>
    <row r="39" spans="1:32" s="107" customFormat="1" ht="15" customHeight="1" x14ac:dyDescent="0.2">
      <c r="A39" s="122">
        <v>38</v>
      </c>
      <c r="B39" s="109" t="s">
        <v>146</v>
      </c>
      <c r="C39" s="132">
        <v>8459321</v>
      </c>
      <c r="D39" s="118">
        <v>737293</v>
      </c>
      <c r="E39" s="118">
        <v>249467</v>
      </c>
      <c r="F39" s="149">
        <v>9446081</v>
      </c>
      <c r="G39" s="118">
        <v>5783010</v>
      </c>
      <c r="H39" s="118">
        <v>1193744</v>
      </c>
      <c r="I39" s="118">
        <v>488636</v>
      </c>
      <c r="J39" s="133">
        <v>1349686</v>
      </c>
      <c r="K39" s="134">
        <v>8815076</v>
      </c>
      <c r="L39" s="158">
        <v>631005</v>
      </c>
      <c r="M39" s="154">
        <v>6398873</v>
      </c>
      <c r="N39" s="154">
        <v>688191</v>
      </c>
    </row>
    <row r="40" spans="1:32" s="111" customFormat="1" ht="15" customHeight="1" x14ac:dyDescent="0.2">
      <c r="A40" s="126">
        <v>39</v>
      </c>
      <c r="B40" s="109" t="s">
        <v>177</v>
      </c>
      <c r="C40" s="132">
        <v>14279724</v>
      </c>
      <c r="D40" s="118">
        <v>2091968</v>
      </c>
      <c r="E40" s="118">
        <v>312628</v>
      </c>
      <c r="F40" s="149">
        <v>16684320</v>
      </c>
      <c r="G40" s="118">
        <v>8870136</v>
      </c>
      <c r="H40" s="118">
        <v>2475657</v>
      </c>
      <c r="I40" s="118">
        <v>1749332</v>
      </c>
      <c r="J40" s="133">
        <v>1513485</v>
      </c>
      <c r="K40" s="134">
        <v>14608610</v>
      </c>
      <c r="L40" s="158">
        <v>2075710</v>
      </c>
      <c r="M40" s="154">
        <v>6845921</v>
      </c>
      <c r="N40" s="154">
        <v>508571</v>
      </c>
    </row>
    <row r="41" spans="1:32" s="107" customFormat="1" ht="15" customHeight="1" x14ac:dyDescent="0.2">
      <c r="A41" s="122">
        <v>40</v>
      </c>
      <c r="B41" s="109" t="s">
        <v>162</v>
      </c>
      <c r="C41" s="132">
        <v>4740154</v>
      </c>
      <c r="D41" s="118">
        <v>464365</v>
      </c>
      <c r="E41" s="118">
        <v>121314</v>
      </c>
      <c r="F41" s="149">
        <v>5325833</v>
      </c>
      <c r="G41" s="118">
        <v>2484625</v>
      </c>
      <c r="H41" s="118">
        <v>782461</v>
      </c>
      <c r="I41" s="118">
        <v>796206</v>
      </c>
      <c r="J41" s="133">
        <v>832016</v>
      </c>
      <c r="K41" s="134">
        <v>4895308</v>
      </c>
      <c r="L41" s="158">
        <v>430525</v>
      </c>
      <c r="M41" s="154">
        <v>259019</v>
      </c>
      <c r="N41" s="154">
        <v>379645</v>
      </c>
    </row>
    <row r="42" spans="1:32" s="107" customFormat="1" ht="15" customHeight="1" x14ac:dyDescent="0.2">
      <c r="A42" s="122">
        <v>41</v>
      </c>
      <c r="B42" s="109" t="s">
        <v>187</v>
      </c>
      <c r="C42" s="132">
        <v>2090608</v>
      </c>
      <c r="D42" s="118">
        <v>587235</v>
      </c>
      <c r="E42" s="118">
        <v>269074</v>
      </c>
      <c r="F42" s="149">
        <v>2946917</v>
      </c>
      <c r="G42" s="118">
        <v>1233939</v>
      </c>
      <c r="H42" s="118">
        <v>300000</v>
      </c>
      <c r="I42" s="118">
        <v>451257</v>
      </c>
      <c r="J42" s="133">
        <v>242781</v>
      </c>
      <c r="K42" s="134">
        <v>2227977</v>
      </c>
      <c r="L42" s="158">
        <v>718940</v>
      </c>
      <c r="M42" s="154">
        <v>716932</v>
      </c>
      <c r="N42" s="154">
        <v>564954</v>
      </c>
    </row>
    <row r="43" spans="1:32" s="107" customFormat="1" ht="15" customHeight="1" x14ac:dyDescent="0.2">
      <c r="A43" s="122">
        <v>42</v>
      </c>
      <c r="B43" s="109" t="s">
        <v>163</v>
      </c>
      <c r="C43" s="132">
        <v>1587075</v>
      </c>
      <c r="D43" s="118">
        <v>0</v>
      </c>
      <c r="E43" s="118">
        <v>253198</v>
      </c>
      <c r="F43" s="149">
        <v>1840273</v>
      </c>
      <c r="G43" s="118">
        <v>1025130</v>
      </c>
      <c r="H43" s="118">
        <v>357172</v>
      </c>
      <c r="I43" s="118">
        <v>286275</v>
      </c>
      <c r="J43" s="133">
        <v>88392</v>
      </c>
      <c r="K43" s="134">
        <v>1756969</v>
      </c>
      <c r="L43" s="158">
        <v>83304</v>
      </c>
      <c r="M43" s="154">
        <v>1120917</v>
      </c>
      <c r="N43" s="154">
        <v>1073910</v>
      </c>
    </row>
    <row r="44" spans="1:32" s="107" customFormat="1" ht="15" customHeight="1" x14ac:dyDescent="0.2">
      <c r="A44" s="122">
        <v>43</v>
      </c>
      <c r="B44" s="109" t="s">
        <v>165</v>
      </c>
      <c r="C44" s="132">
        <v>12095237</v>
      </c>
      <c r="D44" s="118">
        <v>324744</v>
      </c>
      <c r="E44" s="118">
        <v>2990876</v>
      </c>
      <c r="F44" s="149">
        <v>15410857</v>
      </c>
      <c r="G44" s="118">
        <v>10504070</v>
      </c>
      <c r="H44" s="118">
        <v>2659458</v>
      </c>
      <c r="I44" s="118">
        <v>1339425</v>
      </c>
      <c r="J44" s="133">
        <v>907904</v>
      </c>
      <c r="K44" s="134">
        <v>15410857</v>
      </c>
      <c r="L44" s="158">
        <v>0</v>
      </c>
      <c r="M44" s="154">
        <v>0</v>
      </c>
      <c r="N44" s="154">
        <v>257950</v>
      </c>
    </row>
    <row r="45" spans="1:32" s="107" customFormat="1" ht="15" customHeight="1" x14ac:dyDescent="0.2">
      <c r="A45" s="122">
        <v>44</v>
      </c>
      <c r="B45" s="109" t="s">
        <v>178</v>
      </c>
      <c r="C45" s="132">
        <v>12583218</v>
      </c>
      <c r="D45" s="118">
        <v>1132043</v>
      </c>
      <c r="E45" s="118">
        <v>471651</v>
      </c>
      <c r="F45" s="149">
        <v>14186912</v>
      </c>
      <c r="G45" s="118">
        <v>8767713</v>
      </c>
      <c r="H45" s="118">
        <v>2115152</v>
      </c>
      <c r="I45" s="118">
        <v>1830648</v>
      </c>
      <c r="J45" s="133">
        <v>1498598</v>
      </c>
      <c r="K45" s="134">
        <v>14212111</v>
      </c>
      <c r="L45" s="158">
        <v>-25199</v>
      </c>
      <c r="M45" s="154">
        <v>15751714</v>
      </c>
      <c r="N45" s="154">
        <f>2313556+555049+1260366</f>
        <v>4128971</v>
      </c>
    </row>
    <row r="46" spans="1:32" s="107" customFormat="1" ht="15" customHeight="1" x14ac:dyDescent="0.2">
      <c r="A46" s="122">
        <v>45</v>
      </c>
      <c r="B46" s="109" t="s">
        <v>164</v>
      </c>
      <c r="C46" s="132">
        <v>3281401</v>
      </c>
      <c r="D46" s="118">
        <v>1253565</v>
      </c>
      <c r="E46" s="118">
        <v>550722</v>
      </c>
      <c r="F46" s="149">
        <v>5085688</v>
      </c>
      <c r="G46" s="118">
        <v>2724065</v>
      </c>
      <c r="H46" s="118">
        <v>624141</v>
      </c>
      <c r="I46" s="118">
        <v>1488306</v>
      </c>
      <c r="J46" s="133">
        <v>174708</v>
      </c>
      <c r="K46" s="134">
        <v>5011220</v>
      </c>
      <c r="L46" s="158">
        <v>74468</v>
      </c>
      <c r="M46" s="154">
        <v>1414380</v>
      </c>
      <c r="N46" s="154">
        <v>2341275</v>
      </c>
    </row>
    <row r="47" spans="1:32" s="107" customFormat="1" ht="15" customHeight="1" x14ac:dyDescent="0.2">
      <c r="A47" s="122">
        <v>46</v>
      </c>
      <c r="B47" s="109" t="s">
        <v>186</v>
      </c>
      <c r="C47" s="132">
        <v>861940</v>
      </c>
      <c r="D47" s="118">
        <v>254282</v>
      </c>
      <c r="E47" s="118">
        <v>168317</v>
      </c>
      <c r="F47" s="149">
        <v>1284539</v>
      </c>
      <c r="G47" s="118">
        <v>520770</v>
      </c>
      <c r="H47" s="118">
        <v>105947</v>
      </c>
      <c r="I47" s="118">
        <v>195234</v>
      </c>
      <c r="J47" s="133">
        <v>134303</v>
      </c>
      <c r="K47" s="134">
        <v>956254</v>
      </c>
      <c r="L47" s="158">
        <v>328285</v>
      </c>
      <c r="M47" s="154">
        <v>407766</v>
      </c>
      <c r="N47" s="154">
        <v>308392</v>
      </c>
    </row>
    <row r="48" spans="1:32" s="107" customFormat="1" ht="15" customHeight="1" x14ac:dyDescent="0.2">
      <c r="A48" s="126">
        <v>47</v>
      </c>
      <c r="B48" s="109" t="s">
        <v>39</v>
      </c>
      <c r="C48" s="132">
        <v>5769887</v>
      </c>
      <c r="D48" s="118">
        <v>1040487</v>
      </c>
      <c r="E48" s="118">
        <v>1548265</v>
      </c>
      <c r="F48" s="149">
        <v>8358639</v>
      </c>
      <c r="G48" s="118">
        <v>4887977</v>
      </c>
      <c r="H48" s="118">
        <v>2561660</v>
      </c>
      <c r="I48" s="118">
        <v>499581</v>
      </c>
      <c r="J48" s="133">
        <v>1407726</v>
      </c>
      <c r="K48" s="134">
        <v>9356944</v>
      </c>
      <c r="L48" s="158">
        <v>-998305</v>
      </c>
      <c r="M48" s="154">
        <v>2008541</v>
      </c>
      <c r="N48" s="154">
        <v>4199775</v>
      </c>
    </row>
    <row r="49" spans="1:32" s="112" customFormat="1" ht="15" customHeight="1" x14ac:dyDescent="0.2">
      <c r="A49" s="129">
        <v>48</v>
      </c>
      <c r="B49" s="117" t="s">
        <v>166</v>
      </c>
      <c r="C49" s="135">
        <v>4410496</v>
      </c>
      <c r="D49" s="119">
        <v>846405</v>
      </c>
      <c r="E49" s="119">
        <v>215361</v>
      </c>
      <c r="F49" s="150">
        <v>5472262</v>
      </c>
      <c r="G49" s="119">
        <v>3614618</v>
      </c>
      <c r="H49" s="119">
        <v>793308</v>
      </c>
      <c r="I49" s="119">
        <v>589548</v>
      </c>
      <c r="J49" s="136">
        <v>502409</v>
      </c>
      <c r="K49" s="137">
        <v>5499883</v>
      </c>
      <c r="L49" s="159">
        <v>-27621</v>
      </c>
      <c r="M49" s="155">
        <v>1375477</v>
      </c>
      <c r="N49" s="155">
        <v>277971</v>
      </c>
    </row>
    <row r="50" spans="1:32" s="107" customFormat="1" ht="15" customHeight="1" x14ac:dyDescent="0.2">
      <c r="A50" s="126">
        <v>49</v>
      </c>
      <c r="B50" s="109" t="s">
        <v>167</v>
      </c>
      <c r="C50" s="132">
        <v>7029872</v>
      </c>
      <c r="D50" s="118">
        <v>722204</v>
      </c>
      <c r="E50" s="118">
        <v>317955</v>
      </c>
      <c r="F50" s="149">
        <v>8070031</v>
      </c>
      <c r="G50" s="118">
        <v>4808407</v>
      </c>
      <c r="H50" s="118">
        <v>1520697</v>
      </c>
      <c r="I50" s="118">
        <v>735105</v>
      </c>
      <c r="J50" s="133">
        <v>570117</v>
      </c>
      <c r="K50" s="134">
        <v>7634326</v>
      </c>
      <c r="L50" s="158">
        <v>435705</v>
      </c>
      <c r="M50" s="154">
        <v>4927184</v>
      </c>
      <c r="N50" s="154">
        <v>3605552</v>
      </c>
    </row>
    <row r="51" spans="1:32" s="107" customFormat="1" ht="15" customHeight="1" x14ac:dyDescent="0.2">
      <c r="A51" s="122">
        <v>50</v>
      </c>
      <c r="B51" s="109" t="s">
        <v>174</v>
      </c>
      <c r="C51" s="132">
        <v>7868516</v>
      </c>
      <c r="D51" s="118">
        <v>839084</v>
      </c>
      <c r="E51" s="118">
        <v>620205</v>
      </c>
      <c r="F51" s="149">
        <v>9327805</v>
      </c>
      <c r="G51" s="118">
        <v>5209221</v>
      </c>
      <c r="H51" s="118">
        <v>1157968</v>
      </c>
      <c r="I51" s="118">
        <v>845583</v>
      </c>
      <c r="J51" s="133">
        <v>1270144</v>
      </c>
      <c r="K51" s="134">
        <v>8482916</v>
      </c>
      <c r="L51" s="158">
        <v>844889</v>
      </c>
      <c r="M51" s="154">
        <v>817094</v>
      </c>
      <c r="N51" s="154">
        <v>671262</v>
      </c>
    </row>
    <row r="52" spans="1:32" s="107" customFormat="1" ht="15" customHeight="1" x14ac:dyDescent="0.2">
      <c r="A52" s="122">
        <v>51</v>
      </c>
      <c r="B52" s="109" t="s">
        <v>168</v>
      </c>
      <c r="C52" s="132">
        <v>5464207</v>
      </c>
      <c r="D52" s="118">
        <v>866825</v>
      </c>
      <c r="E52" s="118">
        <v>92355</v>
      </c>
      <c r="F52" s="149">
        <v>6423387</v>
      </c>
      <c r="G52" s="118">
        <v>4108365</v>
      </c>
      <c r="H52" s="118">
        <v>837506</v>
      </c>
      <c r="I52" s="118">
        <v>894882</v>
      </c>
      <c r="J52" s="133">
        <v>502915</v>
      </c>
      <c r="K52" s="134">
        <v>6343668</v>
      </c>
      <c r="L52" s="158">
        <v>79719</v>
      </c>
      <c r="M52" s="154">
        <v>71202</v>
      </c>
      <c r="N52" s="154">
        <v>86514</v>
      </c>
    </row>
    <row r="53" spans="1:32" s="107" customFormat="1" ht="15" customHeight="1" x14ac:dyDescent="0.2">
      <c r="A53" s="126">
        <v>52</v>
      </c>
      <c r="B53" s="109" t="s">
        <v>169</v>
      </c>
      <c r="C53" s="132">
        <v>5369388</v>
      </c>
      <c r="D53" s="118">
        <v>480532</v>
      </c>
      <c r="E53" s="118">
        <v>962840</v>
      </c>
      <c r="F53" s="149">
        <v>6812760</v>
      </c>
      <c r="G53" s="118">
        <v>3227139</v>
      </c>
      <c r="H53" s="118">
        <v>1056132</v>
      </c>
      <c r="I53" s="118">
        <v>495015</v>
      </c>
      <c r="J53" s="133">
        <v>641268</v>
      </c>
      <c r="K53" s="134">
        <v>5419554</v>
      </c>
      <c r="L53" s="158">
        <v>1393206</v>
      </c>
      <c r="M53" s="154">
        <v>4801996</v>
      </c>
      <c r="N53" s="154">
        <f>3265967+255661</f>
        <v>3521628</v>
      </c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1:32" s="107" customFormat="1" ht="15" customHeight="1" thickBot="1" x14ac:dyDescent="0.25">
      <c r="A54" s="106">
        <v>53</v>
      </c>
      <c r="B54" s="109" t="s">
        <v>175</v>
      </c>
      <c r="C54" s="132">
        <v>6311070</v>
      </c>
      <c r="D54" s="118">
        <v>774791</v>
      </c>
      <c r="E54" s="118">
        <v>132448</v>
      </c>
      <c r="F54" s="149">
        <v>7218309</v>
      </c>
      <c r="G54" s="118">
        <v>4508709</v>
      </c>
      <c r="H54" s="118">
        <v>1441634</v>
      </c>
      <c r="I54" s="118">
        <v>565309</v>
      </c>
      <c r="J54" s="133">
        <v>670154</v>
      </c>
      <c r="K54" s="134">
        <v>7185806</v>
      </c>
      <c r="L54" s="158">
        <v>32503</v>
      </c>
      <c r="M54" s="154">
        <v>-884720</v>
      </c>
      <c r="N54" s="154">
        <f>737177</f>
        <v>737177</v>
      </c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1:32" s="107" customFormat="1" ht="15" customHeight="1" thickBot="1" x14ac:dyDescent="0.25">
      <c r="A55" s="108"/>
      <c r="B55" s="142" t="s">
        <v>194</v>
      </c>
      <c r="C55" s="143">
        <f t="shared" ref="C55:N55" si="0">SUM(C2:C54)</f>
        <v>503714503</v>
      </c>
      <c r="D55" s="144">
        <f t="shared" si="0"/>
        <v>71145905</v>
      </c>
      <c r="E55" s="145">
        <f t="shared" si="0"/>
        <v>38927811</v>
      </c>
      <c r="F55" s="152">
        <f t="shared" si="0"/>
        <v>613788219</v>
      </c>
      <c r="G55" s="143">
        <f t="shared" si="0"/>
        <v>346724232</v>
      </c>
      <c r="H55" s="144">
        <f t="shared" si="0"/>
        <v>94237618.419999987</v>
      </c>
      <c r="I55" s="144">
        <f t="shared" si="0"/>
        <v>61026610.020000003</v>
      </c>
      <c r="J55" s="147">
        <f t="shared" si="0"/>
        <v>64789037.980000004</v>
      </c>
      <c r="K55" s="146">
        <f t="shared" si="0"/>
        <v>566777497</v>
      </c>
      <c r="L55" s="160">
        <f t="shared" si="0"/>
        <v>47010722</v>
      </c>
      <c r="M55" s="156">
        <f t="shared" si="0"/>
        <v>251226072.34999999</v>
      </c>
      <c r="N55" s="156">
        <f t="shared" si="0"/>
        <v>184273736</v>
      </c>
    </row>
    <row r="56" spans="1:32" s="111" customFormat="1" ht="12.6" customHeight="1" thickTop="1" x14ac:dyDescent="0.2">
      <c r="A56" s="106"/>
      <c r="B56" s="121"/>
      <c r="D56" s="105"/>
      <c r="E56" s="105"/>
      <c r="F56" s="105"/>
      <c r="G56" s="105"/>
      <c r="H56" s="105"/>
      <c r="I56" s="105"/>
      <c r="J56" s="105"/>
      <c r="K56" s="105"/>
      <c r="L56" s="105"/>
      <c r="M56" s="123"/>
      <c r="N56" s="123"/>
    </row>
    <row r="57" spans="1:32" s="111" customFormat="1" x14ac:dyDescent="0.2">
      <c r="A57" s="106"/>
      <c r="B57" s="121"/>
      <c r="D57" s="105"/>
      <c r="E57" s="105"/>
      <c r="F57" s="105"/>
      <c r="G57" s="105"/>
      <c r="H57" s="105"/>
      <c r="I57" s="105"/>
      <c r="J57" s="105"/>
      <c r="K57" s="105"/>
      <c r="L57" s="130"/>
      <c r="M57" s="124"/>
      <c r="N57" s="124"/>
    </row>
    <row r="58" spans="1:32" s="111" customFormat="1" x14ac:dyDescent="0.2">
      <c r="A58" s="106"/>
      <c r="B58" s="121"/>
      <c r="D58" s="105"/>
      <c r="E58" s="105"/>
      <c r="F58" s="105"/>
      <c r="G58" s="105"/>
      <c r="H58" s="105"/>
      <c r="I58" s="105"/>
      <c r="J58" s="105"/>
      <c r="K58" s="105"/>
      <c r="L58" s="105"/>
      <c r="M58" s="123"/>
      <c r="N58" s="123"/>
    </row>
    <row r="59" spans="1:32" s="111" customFormat="1" x14ac:dyDescent="0.2">
      <c r="A59" s="106"/>
      <c r="B59" s="121"/>
      <c r="D59" s="105"/>
      <c r="E59" s="105"/>
      <c r="F59" s="105"/>
      <c r="G59" s="105"/>
      <c r="H59" s="105"/>
      <c r="I59" s="105"/>
      <c r="J59" s="105"/>
      <c r="K59" s="105"/>
      <c r="L59" s="105"/>
      <c r="M59" s="123"/>
      <c r="N59" s="123"/>
    </row>
    <row r="60" spans="1:32" s="111" customFormat="1" x14ac:dyDescent="0.2">
      <c r="A60" s="106"/>
      <c r="B60" s="121"/>
      <c r="D60" s="105"/>
      <c r="E60" s="105"/>
      <c r="F60" s="105"/>
      <c r="G60" s="105"/>
      <c r="H60" s="105"/>
      <c r="I60" s="105"/>
      <c r="J60" s="105"/>
      <c r="K60" s="105"/>
      <c r="L60" s="105"/>
      <c r="M60" s="123"/>
      <c r="N60" s="123"/>
    </row>
    <row r="61" spans="1:32" s="111" customFormat="1" x14ac:dyDescent="0.2">
      <c r="A61" s="106"/>
      <c r="B61" s="121"/>
      <c r="D61" s="105"/>
      <c r="E61" s="105"/>
      <c r="F61" s="105"/>
      <c r="G61" s="105"/>
      <c r="H61" s="105"/>
      <c r="I61" s="105"/>
      <c r="J61" s="105"/>
      <c r="K61" s="105"/>
      <c r="L61" s="105"/>
      <c r="M61" s="123"/>
      <c r="N61" s="123"/>
    </row>
    <row r="62" spans="1:32" s="111" customFormat="1" x14ac:dyDescent="0.2">
      <c r="A62" s="106"/>
      <c r="B62" s="121"/>
      <c r="D62" s="105"/>
      <c r="E62" s="105"/>
      <c r="F62" s="105"/>
      <c r="G62" s="105"/>
      <c r="H62" s="105"/>
      <c r="I62" s="105"/>
      <c r="J62" s="105"/>
      <c r="K62" s="105"/>
      <c r="L62" s="105"/>
      <c r="M62" s="123"/>
      <c r="N62" s="123"/>
    </row>
    <row r="63" spans="1:32" s="111" customFormat="1" x14ac:dyDescent="0.2">
      <c r="A63" s="106"/>
      <c r="B63" s="121"/>
      <c r="D63" s="105"/>
      <c r="E63" s="105"/>
      <c r="F63" s="105"/>
      <c r="G63" s="105"/>
      <c r="H63" s="105"/>
      <c r="I63" s="105"/>
      <c r="J63" s="105"/>
      <c r="K63" s="105"/>
      <c r="L63" s="105"/>
      <c r="M63" s="123"/>
      <c r="N63" s="123"/>
    </row>
    <row r="64" spans="1:32" x14ac:dyDescent="0.2">
      <c r="A64" s="106"/>
      <c r="C64" s="111"/>
      <c r="D64" s="105"/>
      <c r="E64" s="105"/>
      <c r="F64" s="105"/>
      <c r="G64" s="105"/>
      <c r="H64" s="105"/>
      <c r="I64" s="105"/>
      <c r="J64" s="105"/>
      <c r="K64" s="105"/>
      <c r="L64" s="105"/>
      <c r="M64" s="123"/>
      <c r="N64" s="123"/>
    </row>
    <row r="65" spans="1:14" x14ac:dyDescent="0.2">
      <c r="A65" s="106"/>
      <c r="C65" s="111"/>
      <c r="D65" s="105"/>
      <c r="E65" s="105"/>
      <c r="F65" s="105"/>
      <c r="G65" s="105"/>
      <c r="H65" s="105"/>
      <c r="I65" s="105"/>
      <c r="J65" s="105"/>
      <c r="K65" s="105"/>
      <c r="L65" s="105"/>
      <c r="M65" s="123"/>
      <c r="N65" s="123"/>
    </row>
    <row r="66" spans="1:14" x14ac:dyDescent="0.2">
      <c r="A66" s="106"/>
      <c r="C66" s="111"/>
      <c r="D66" s="105"/>
      <c r="E66" s="105"/>
      <c r="F66" s="105"/>
      <c r="G66" s="105"/>
      <c r="H66" s="105"/>
      <c r="I66" s="105"/>
      <c r="J66" s="105"/>
      <c r="K66" s="105"/>
      <c r="L66" s="105"/>
      <c r="M66" s="123"/>
      <c r="N66" s="123"/>
    </row>
    <row r="67" spans="1:14" x14ac:dyDescent="0.2">
      <c r="A67" s="106"/>
      <c r="C67" s="111"/>
      <c r="D67" s="105"/>
      <c r="E67" s="105"/>
      <c r="F67" s="105"/>
      <c r="G67" s="105"/>
      <c r="H67" s="105"/>
      <c r="I67" s="105"/>
      <c r="J67" s="105"/>
      <c r="K67" s="105"/>
      <c r="L67" s="105"/>
      <c r="M67" s="123"/>
      <c r="N67" s="123"/>
    </row>
    <row r="68" spans="1:14" x14ac:dyDescent="0.2">
      <c r="A68" s="106"/>
      <c r="C68" s="111"/>
      <c r="D68" s="105"/>
      <c r="E68" s="105"/>
      <c r="F68" s="105"/>
      <c r="G68" s="105"/>
      <c r="H68" s="105"/>
      <c r="I68" s="105"/>
      <c r="J68" s="105"/>
      <c r="K68" s="105"/>
      <c r="L68" s="105"/>
      <c r="M68" s="123"/>
      <c r="N68" s="123"/>
    </row>
    <row r="69" spans="1:14" x14ac:dyDescent="0.2">
      <c r="A69" s="106"/>
      <c r="C69" s="111"/>
      <c r="D69" s="105"/>
      <c r="E69" s="105"/>
      <c r="F69" s="105"/>
      <c r="G69" s="105"/>
      <c r="H69" s="105"/>
      <c r="I69" s="105"/>
      <c r="J69" s="105"/>
      <c r="K69" s="105"/>
      <c r="L69" s="105"/>
      <c r="M69" s="123"/>
      <c r="N69" s="123"/>
    </row>
  </sheetData>
  <sortState ref="A2:IE54">
    <sortCondition ref="A2:A54"/>
  </sortState>
  <customSheetViews>
    <customSheetView guid="{10C0A201-91C6-44DE-9B31-2C6A279EA534}">
      <pageMargins left="0.75" right="0.75" top="1" bottom="1" header="0.5" footer="0.5"/>
      <headerFooter alignWithMargins="0"/>
    </customSheetView>
    <customSheetView guid="{6EEFDAD9-138E-4109-B9A7-15E07E6D6D38}">
      <pageMargins left="0.75" right="0.75" top="1" bottom="1" header="0.5" footer="0.5"/>
      <headerFooter alignWithMargins="0"/>
    </customSheetView>
    <customSheetView guid="{BBFAE678-1A93-488D-BAE5-DF1D26697A3A}">
      <pageMargins left="0.75" right="0.75" top="1" bottom="1" header="0.5" footer="0.5"/>
      <headerFooter alignWithMargins="0"/>
    </customSheetView>
  </customSheetViews>
  <phoneticPr fontId="0" type="noConversion"/>
  <printOptions horizontalCentered="1" gridLines="1"/>
  <pageMargins left="0.28999999999999998" right="0.16" top="1.37" bottom="0.76" header="0.5" footer="0.5"/>
  <pageSetup paperSize="3" scale="88" fitToHeight="2" pageOrder="overThenDown" orientation="landscape" r:id="rId1"/>
  <headerFooter alignWithMargins="0">
    <oddHeader>&amp;C&amp;"Arial,Bold"&amp;14FY2012 Public Charter School Revenue vs Expenditure Report (audited results)</oddHeader>
    <oddFooter>&amp;C&amp;"Calibri,Bold"&amp;8PAGE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3"/>
  <sheetViews>
    <sheetView zoomScale="70" zoomScaleNormal="70" workbookViewId="0">
      <selection activeCell="L14" sqref="L14"/>
    </sheetView>
  </sheetViews>
  <sheetFormatPr defaultColWidth="9.140625" defaultRowHeight="12.75" x14ac:dyDescent="0.2"/>
  <cols>
    <col min="1" max="1" width="72.42578125" style="168" customWidth="1"/>
    <col min="2" max="2" width="0.28515625" style="169" customWidth="1"/>
    <col min="3" max="3" width="19.42578125" style="169" customWidth="1"/>
    <col min="4" max="4" width="17.5703125" style="168" bestFit="1" customWidth="1"/>
    <col min="5" max="5" width="17.5703125" style="188" hidden="1" customWidth="1"/>
    <col min="6" max="6" width="17.5703125" style="168" hidden="1" customWidth="1"/>
    <col min="7" max="7" width="17.5703125" style="168" customWidth="1"/>
    <col min="8" max="8" width="17" style="168" customWidth="1"/>
    <col min="9" max="16384" width="9.140625" style="168"/>
  </cols>
  <sheetData>
    <row r="1" spans="1:8" s="167" customFormat="1" ht="43.5" customHeight="1" thickTop="1" thickBot="1" x14ac:dyDescent="0.25">
      <c r="A1" s="161" t="s">
        <v>100</v>
      </c>
      <c r="B1" s="162" t="s">
        <v>199</v>
      </c>
      <c r="C1" s="163" t="s">
        <v>205</v>
      </c>
      <c r="D1" s="164" t="s">
        <v>206</v>
      </c>
      <c r="E1" s="164"/>
      <c r="F1" s="165" t="s">
        <v>200</v>
      </c>
      <c r="G1" s="163" t="s">
        <v>207</v>
      </c>
      <c r="H1" s="166" t="s">
        <v>180</v>
      </c>
    </row>
    <row r="2" spans="1:8" x14ac:dyDescent="0.2">
      <c r="A2" s="168" t="s">
        <v>112</v>
      </c>
      <c r="B2" s="169">
        <f>3409966+45848+960000</f>
        <v>4415814</v>
      </c>
      <c r="C2" s="170">
        <v>4463540.7960000001</v>
      </c>
      <c r="D2" s="171">
        <f>374531+247495</f>
        <v>622026</v>
      </c>
      <c r="E2" s="171">
        <v>225000</v>
      </c>
      <c r="F2" s="172">
        <f>1242+573</f>
        <v>1815</v>
      </c>
      <c r="G2" s="170">
        <f>SUM(E2:F2)</f>
        <v>226815</v>
      </c>
      <c r="H2" s="173">
        <f>SUM(C2:G2)-E2-F2</f>
        <v>5312381.7960000001</v>
      </c>
    </row>
    <row r="3" spans="1:8" x14ac:dyDescent="0.2">
      <c r="A3" s="168" t="s">
        <v>116</v>
      </c>
      <c r="B3" s="169">
        <f>8056677+1890000+638673</f>
        <v>10585350</v>
      </c>
      <c r="C3" s="170">
        <v>10814503.379999999</v>
      </c>
      <c r="D3" s="171">
        <f>330473+37800+16000</f>
        <v>384273</v>
      </c>
      <c r="E3" s="171">
        <v>277800</v>
      </c>
      <c r="F3" s="172">
        <f>62550+348300+29400</f>
        <v>440250</v>
      </c>
      <c r="G3" s="170">
        <f t="shared" ref="G3:G58" si="0">SUM(E3:F3)</f>
        <v>718050</v>
      </c>
      <c r="H3" s="173">
        <f t="shared" ref="H3:H58" si="1">SUM(C3:G3)-E3-F3</f>
        <v>11916826.379999999</v>
      </c>
    </row>
    <row r="4" spans="1:8" x14ac:dyDescent="0.2">
      <c r="A4" s="168" t="s">
        <v>115</v>
      </c>
      <c r="B4" s="169">
        <v>9454300</v>
      </c>
      <c r="C4" s="170">
        <v>9618140.7780000009</v>
      </c>
      <c r="D4" s="171">
        <f>560000+683300</f>
        <v>1243300</v>
      </c>
      <c r="E4" s="171">
        <v>0</v>
      </c>
      <c r="F4" s="172">
        <f>12000+175000</f>
        <v>187000</v>
      </c>
      <c r="G4" s="170">
        <f t="shared" si="0"/>
        <v>187000</v>
      </c>
      <c r="H4" s="173">
        <f t="shared" si="1"/>
        <v>11048440.778000001</v>
      </c>
    </row>
    <row r="5" spans="1:8" x14ac:dyDescent="0.2">
      <c r="A5" s="168" t="s">
        <v>201</v>
      </c>
      <c r="B5" s="169">
        <v>5516009</v>
      </c>
      <c r="C5" s="170">
        <v>6230792.5010000002</v>
      </c>
      <c r="D5" s="171">
        <v>255000</v>
      </c>
      <c r="E5" s="171">
        <v>200000</v>
      </c>
      <c r="F5" s="172">
        <v>5000</v>
      </c>
      <c r="G5" s="170">
        <f t="shared" si="0"/>
        <v>205000</v>
      </c>
      <c r="H5" s="173">
        <f t="shared" si="1"/>
        <v>6690792.5010000002</v>
      </c>
    </row>
    <row r="6" spans="1:8" x14ac:dyDescent="0.2">
      <c r="A6" s="168" t="s">
        <v>114</v>
      </c>
      <c r="B6" s="169">
        <v>5771250</v>
      </c>
      <c r="C6" s="170">
        <v>5433144.4179999996</v>
      </c>
      <c r="D6" s="171">
        <v>392000</v>
      </c>
      <c r="E6" s="171">
        <v>20000</v>
      </c>
      <c r="F6" s="172">
        <f>15000+55000</f>
        <v>70000</v>
      </c>
      <c r="G6" s="170">
        <f t="shared" si="0"/>
        <v>90000</v>
      </c>
      <c r="H6" s="173">
        <f t="shared" si="1"/>
        <v>5915144.4179999996</v>
      </c>
    </row>
    <row r="7" spans="1:8" x14ac:dyDescent="0.2">
      <c r="A7" s="168" t="s">
        <v>113</v>
      </c>
      <c r="B7" s="169">
        <f>3465794+227017</f>
        <v>3692811</v>
      </c>
      <c r="C7" s="170">
        <v>3206756.3549999995</v>
      </c>
      <c r="D7" s="171">
        <v>94315</v>
      </c>
      <c r="E7" s="171">
        <v>20000</v>
      </c>
      <c r="F7" s="172">
        <f>82158+5448</f>
        <v>87606</v>
      </c>
      <c r="G7" s="170">
        <f t="shared" si="0"/>
        <v>107606</v>
      </c>
      <c r="H7" s="173">
        <f t="shared" si="1"/>
        <v>3408677.3549999995</v>
      </c>
    </row>
    <row r="8" spans="1:8" x14ac:dyDescent="0.2">
      <c r="A8" s="168" t="s">
        <v>117</v>
      </c>
      <c r="B8" s="169">
        <f>12977288+2660000</f>
        <v>15637288</v>
      </c>
      <c r="C8" s="170">
        <v>15755396.902999999</v>
      </c>
      <c r="D8" s="171">
        <f>859146+1318045</f>
        <v>2177191</v>
      </c>
      <c r="E8" s="171">
        <v>230000</v>
      </c>
      <c r="F8" s="172">
        <f>719168+21000</f>
        <v>740168</v>
      </c>
      <c r="G8" s="170">
        <f t="shared" si="0"/>
        <v>970168</v>
      </c>
      <c r="H8" s="173">
        <f t="shared" si="1"/>
        <v>18902755.902999997</v>
      </c>
    </row>
    <row r="9" spans="1:8" x14ac:dyDescent="0.2">
      <c r="A9" s="168" t="s">
        <v>202</v>
      </c>
      <c r="C9" s="170">
        <v>1669409.1509999998</v>
      </c>
      <c r="D9" s="171">
        <v>0</v>
      </c>
      <c r="E9" s="171"/>
      <c r="F9" s="172"/>
      <c r="G9" s="170">
        <f t="shared" si="0"/>
        <v>0</v>
      </c>
      <c r="H9" s="173">
        <f t="shared" si="1"/>
        <v>1669409.1509999998</v>
      </c>
    </row>
    <row r="10" spans="1:8" x14ac:dyDescent="0.2">
      <c r="A10" s="168" t="s">
        <v>119</v>
      </c>
      <c r="B10" s="169">
        <v>17265320</v>
      </c>
      <c r="C10" s="170">
        <v>18636384.769999996</v>
      </c>
      <c r="D10" s="171">
        <v>505500</v>
      </c>
      <c r="E10" s="171"/>
      <c r="F10" s="172">
        <f>280000+70000+85000+7000+3000+6000</f>
        <v>451000</v>
      </c>
      <c r="G10" s="170">
        <f t="shared" si="0"/>
        <v>451000</v>
      </c>
      <c r="H10" s="173">
        <f t="shared" si="1"/>
        <v>19592884.769999996</v>
      </c>
    </row>
    <row r="11" spans="1:8" x14ac:dyDescent="0.2">
      <c r="A11" s="168" t="s">
        <v>120</v>
      </c>
      <c r="B11" s="169">
        <f>21547470+2658398</f>
        <v>24205868</v>
      </c>
      <c r="C11" s="170">
        <v>21466757.640999999</v>
      </c>
      <c r="D11" s="171">
        <v>223400</v>
      </c>
      <c r="E11" s="171">
        <f>10000+190000+100000</f>
        <v>300000</v>
      </c>
      <c r="F11" s="172">
        <v>184886</v>
      </c>
      <c r="G11" s="170">
        <f t="shared" si="0"/>
        <v>484886</v>
      </c>
      <c r="H11" s="173">
        <f t="shared" si="1"/>
        <v>22175043.640999999</v>
      </c>
    </row>
    <row r="12" spans="1:8" x14ac:dyDescent="0.2">
      <c r="A12" s="168" t="s">
        <v>121</v>
      </c>
      <c r="B12" s="169">
        <f>17460978+4215000</f>
        <v>21675978</v>
      </c>
      <c r="C12" s="170">
        <v>23168977.943999998</v>
      </c>
      <c r="D12" s="171">
        <f>1347210+1144188</f>
        <v>2491398</v>
      </c>
      <c r="E12" s="171">
        <v>528440</v>
      </c>
      <c r="F12" s="172">
        <v>228716</v>
      </c>
      <c r="G12" s="170">
        <f t="shared" si="0"/>
        <v>757156</v>
      </c>
      <c r="H12" s="173">
        <f t="shared" si="1"/>
        <v>26417531.943999998</v>
      </c>
    </row>
    <row r="13" spans="1:8" x14ac:dyDescent="0.2">
      <c r="A13" s="174" t="s">
        <v>122</v>
      </c>
      <c r="B13" s="169">
        <f>27066395</f>
        <v>27066395</v>
      </c>
      <c r="C13" s="175">
        <v>27472410.938000001</v>
      </c>
      <c r="D13" s="176">
        <v>1444400</v>
      </c>
      <c r="E13" s="176">
        <v>15893</v>
      </c>
      <c r="F13" s="177">
        <v>748614</v>
      </c>
      <c r="G13" s="175">
        <f t="shared" si="0"/>
        <v>764507</v>
      </c>
      <c r="H13" s="178">
        <f t="shared" si="1"/>
        <v>29681317.938000001</v>
      </c>
    </row>
    <row r="14" spans="1:8" x14ac:dyDescent="0.2">
      <c r="A14" s="168" t="s">
        <v>203</v>
      </c>
      <c r="C14" s="170">
        <v>2052102.3210000002</v>
      </c>
      <c r="D14" s="171">
        <v>0</v>
      </c>
      <c r="E14" s="171"/>
      <c r="F14" s="172"/>
      <c r="G14" s="170">
        <f t="shared" si="0"/>
        <v>0</v>
      </c>
      <c r="H14" s="173">
        <f t="shared" si="1"/>
        <v>2052102.3210000002</v>
      </c>
    </row>
    <row r="15" spans="1:8" x14ac:dyDescent="0.2">
      <c r="A15" s="168" t="s">
        <v>197</v>
      </c>
      <c r="B15" s="169">
        <v>6413649</v>
      </c>
      <c r="C15" s="170">
        <v>6153701.7000000002</v>
      </c>
      <c r="D15" s="171">
        <f>368128</f>
        <v>368128</v>
      </c>
      <c r="E15" s="171">
        <f>120000</f>
        <v>120000</v>
      </c>
      <c r="F15" s="172">
        <f>162000+5414+20000+14697+91624</f>
        <v>293735</v>
      </c>
      <c r="G15" s="170">
        <f t="shared" si="0"/>
        <v>413735</v>
      </c>
      <c r="H15" s="173">
        <f t="shared" si="1"/>
        <v>6935564.7000000002</v>
      </c>
    </row>
    <row r="16" spans="1:8" x14ac:dyDescent="0.2">
      <c r="A16" s="168" t="s">
        <v>123</v>
      </c>
      <c r="B16" s="169">
        <f>12688354+3080000</f>
        <v>15768354</v>
      </c>
      <c r="C16" s="170">
        <v>16712444.318999998</v>
      </c>
      <c r="D16" s="171">
        <f>823826+2169659</f>
        <v>2993485</v>
      </c>
      <c r="E16" s="171">
        <f>2038021+220835</f>
        <v>2258856</v>
      </c>
      <c r="F16" s="172">
        <v>24850</v>
      </c>
      <c r="G16" s="170">
        <f t="shared" si="0"/>
        <v>2283706</v>
      </c>
      <c r="H16" s="173">
        <f t="shared" si="1"/>
        <v>21989635.318999998</v>
      </c>
    </row>
    <row r="17" spans="1:8" x14ac:dyDescent="0.2">
      <c r="A17" s="168" t="s">
        <v>204</v>
      </c>
      <c r="C17" s="170">
        <v>2735450.3959999993</v>
      </c>
      <c r="D17" s="171">
        <v>0</v>
      </c>
      <c r="E17" s="171"/>
      <c r="F17" s="172"/>
      <c r="G17" s="170">
        <v>0</v>
      </c>
      <c r="H17" s="173">
        <f t="shared" si="1"/>
        <v>2735450.3959999993</v>
      </c>
    </row>
    <row r="18" spans="1:8" x14ac:dyDescent="0.2">
      <c r="A18" s="168" t="s">
        <v>147</v>
      </c>
      <c r="B18" s="169">
        <f>6680425+1668496+1830000+426000+150400+2148410+273717</f>
        <v>13177448</v>
      </c>
      <c r="C18" s="170">
        <v>12780470.823000001</v>
      </c>
      <c r="D18" s="171">
        <f>453600+105000</f>
        <v>558600</v>
      </c>
      <c r="E18" s="171">
        <v>0</v>
      </c>
      <c r="F18" s="172">
        <v>1274741</v>
      </c>
      <c r="G18" s="170">
        <f t="shared" si="0"/>
        <v>1274741</v>
      </c>
      <c r="H18" s="173">
        <f t="shared" si="1"/>
        <v>14613811.823000001</v>
      </c>
    </row>
    <row r="19" spans="1:8" x14ac:dyDescent="0.2">
      <c r="A19" s="168" t="s">
        <v>157</v>
      </c>
      <c r="B19" s="169">
        <f>3839574</f>
        <v>3839574</v>
      </c>
      <c r="C19" s="170">
        <v>3668392.4280000003</v>
      </c>
      <c r="D19" s="171">
        <v>155000</v>
      </c>
      <c r="E19" s="171">
        <v>50000</v>
      </c>
      <c r="F19" s="172">
        <f>10000+12666+3000+9200+79600+160095+10000</f>
        <v>284561</v>
      </c>
      <c r="G19" s="170">
        <f t="shared" si="0"/>
        <v>334561</v>
      </c>
      <c r="H19" s="173">
        <f t="shared" si="1"/>
        <v>4157953.4280000003</v>
      </c>
    </row>
    <row r="20" spans="1:8" x14ac:dyDescent="0.2">
      <c r="A20" s="168" t="s">
        <v>148</v>
      </c>
      <c r="B20" s="169">
        <f>2863931+926800</f>
        <v>3790731</v>
      </c>
      <c r="C20" s="170">
        <v>5031803.7719999999</v>
      </c>
      <c r="D20" s="171">
        <v>66200</v>
      </c>
      <c r="E20" s="171">
        <v>79824</v>
      </c>
      <c r="F20" s="172">
        <v>55245</v>
      </c>
      <c r="G20" s="170">
        <f t="shared" si="0"/>
        <v>135069</v>
      </c>
      <c r="H20" s="173">
        <f t="shared" si="1"/>
        <v>5233072.7719999999</v>
      </c>
    </row>
    <row r="21" spans="1:8" x14ac:dyDescent="0.2">
      <c r="A21" s="168" t="s">
        <v>171</v>
      </c>
      <c r="B21" s="169">
        <v>17252107</v>
      </c>
      <c r="C21" s="170">
        <v>16889805.545999996</v>
      </c>
      <c r="D21" s="171">
        <v>0</v>
      </c>
      <c r="E21" s="171"/>
      <c r="F21" s="172"/>
      <c r="G21" s="170">
        <f t="shared" si="0"/>
        <v>0</v>
      </c>
      <c r="H21" s="173">
        <f t="shared" si="1"/>
        <v>16889805.545999996</v>
      </c>
    </row>
    <row r="22" spans="1:8" x14ac:dyDescent="0.2">
      <c r="A22" s="168" t="s">
        <v>158</v>
      </c>
      <c r="B22" s="169">
        <v>5618751</v>
      </c>
      <c r="C22" s="170">
        <v>5455641.4500000002</v>
      </c>
      <c r="D22" s="171">
        <v>0</v>
      </c>
      <c r="E22" s="171"/>
      <c r="F22" s="172"/>
      <c r="G22" s="170">
        <f t="shared" si="0"/>
        <v>0</v>
      </c>
      <c r="H22" s="173">
        <f t="shared" si="1"/>
        <v>5455641.4500000002</v>
      </c>
    </row>
    <row r="23" spans="1:8" x14ac:dyDescent="0.2">
      <c r="A23" s="168" t="s">
        <v>149</v>
      </c>
      <c r="B23" s="169">
        <f>5694774+1436400</f>
        <v>7131174</v>
      </c>
      <c r="C23" s="170">
        <v>7319564.0010000002</v>
      </c>
      <c r="D23" s="171">
        <f>280180+321534</f>
        <v>601714</v>
      </c>
      <c r="E23" s="171">
        <v>185000</v>
      </c>
      <c r="F23" s="172">
        <f>99722+10906</f>
        <v>110628</v>
      </c>
      <c r="G23" s="170">
        <f t="shared" si="0"/>
        <v>295628</v>
      </c>
      <c r="H23" s="173">
        <f t="shared" si="1"/>
        <v>8216906.0010000002</v>
      </c>
    </row>
    <row r="24" spans="1:8" x14ac:dyDescent="0.2">
      <c r="A24" s="168" t="s">
        <v>176</v>
      </c>
      <c r="B24" s="169">
        <f>48929340+11116000</f>
        <v>60045340</v>
      </c>
      <c r="C24" s="170">
        <v>60982398.887000002</v>
      </c>
      <c r="D24" s="171">
        <f>3195140+7656376</f>
        <v>10851516</v>
      </c>
      <c r="E24" s="171">
        <v>650839</v>
      </c>
      <c r="F24" s="172">
        <f>125000+1069989</f>
        <v>1194989</v>
      </c>
      <c r="G24" s="170">
        <f t="shared" si="0"/>
        <v>1845828</v>
      </c>
      <c r="H24" s="173">
        <f t="shared" si="1"/>
        <v>73679742.886999995</v>
      </c>
    </row>
    <row r="25" spans="1:8" x14ac:dyDescent="0.2">
      <c r="A25" s="174" t="s">
        <v>151</v>
      </c>
      <c r="B25" s="169">
        <v>3907488</v>
      </c>
      <c r="C25" s="170">
        <v>4290725.5580000002</v>
      </c>
      <c r="D25" s="171">
        <v>558781.56999999995</v>
      </c>
      <c r="E25" s="171">
        <v>1600000</v>
      </c>
      <c r="F25" s="172">
        <f>30000+900+27300+8500</f>
        <v>66700</v>
      </c>
      <c r="G25" s="170">
        <f t="shared" si="0"/>
        <v>1666700</v>
      </c>
      <c r="H25" s="173">
        <f t="shared" si="1"/>
        <v>6516207.1280000005</v>
      </c>
    </row>
    <row r="26" spans="1:8" x14ac:dyDescent="0.2">
      <c r="A26" s="168" t="s">
        <v>144</v>
      </c>
      <c r="B26" s="169">
        <v>11404181</v>
      </c>
      <c r="C26" s="179">
        <v>9987694.7589999996</v>
      </c>
      <c r="D26" s="180">
        <v>1623255</v>
      </c>
      <c r="E26" s="180">
        <v>0</v>
      </c>
      <c r="F26" s="181">
        <v>190310</v>
      </c>
      <c r="G26" s="179">
        <f t="shared" si="0"/>
        <v>190310</v>
      </c>
      <c r="H26" s="182">
        <f t="shared" si="1"/>
        <v>11801259.759</v>
      </c>
    </row>
    <row r="27" spans="1:8" x14ac:dyDescent="0.2">
      <c r="A27" s="168" t="s">
        <v>152</v>
      </c>
      <c r="B27" s="169">
        <v>4253670</v>
      </c>
      <c r="C27" s="170">
        <v>4354506.3039999995</v>
      </c>
      <c r="D27" s="171">
        <v>235000</v>
      </c>
      <c r="E27" s="171">
        <v>0</v>
      </c>
      <c r="F27" s="172">
        <f>70000+1500000</f>
        <v>1570000</v>
      </c>
      <c r="G27" s="170">
        <f t="shared" si="0"/>
        <v>1570000</v>
      </c>
      <c r="H27" s="173">
        <f t="shared" si="1"/>
        <v>6159506.3039999995</v>
      </c>
    </row>
    <row r="28" spans="1:8" x14ac:dyDescent="0.2">
      <c r="A28" s="168" t="s">
        <v>198</v>
      </c>
      <c r="B28" s="169">
        <f>4796125+1050000</f>
        <v>5846125</v>
      </c>
      <c r="C28" s="170">
        <v>5074455.3659999995</v>
      </c>
      <c r="D28" s="171">
        <f>587832+350269</f>
        <v>938101</v>
      </c>
      <c r="E28" s="171">
        <v>110000</v>
      </c>
      <c r="F28" s="172">
        <f>11360+7043</f>
        <v>18403</v>
      </c>
      <c r="G28" s="170">
        <f t="shared" si="0"/>
        <v>128403</v>
      </c>
      <c r="H28" s="173">
        <f t="shared" si="1"/>
        <v>6140959.3659999995</v>
      </c>
    </row>
    <row r="29" spans="1:8" x14ac:dyDescent="0.2">
      <c r="A29" s="168" t="s">
        <v>153</v>
      </c>
      <c r="B29" s="169">
        <v>4490369</v>
      </c>
      <c r="C29" s="170">
        <v>4290725.5580000002</v>
      </c>
      <c r="D29" s="171">
        <v>785892</v>
      </c>
      <c r="E29" s="171">
        <f>83511</f>
        <v>83511</v>
      </c>
      <c r="F29" s="172">
        <f>32846+2620</f>
        <v>35466</v>
      </c>
      <c r="G29" s="170">
        <f t="shared" si="0"/>
        <v>118977</v>
      </c>
      <c r="H29" s="173">
        <f t="shared" si="1"/>
        <v>5195594.5580000002</v>
      </c>
    </row>
    <row r="30" spans="1:8" x14ac:dyDescent="0.2">
      <c r="A30" s="168" t="s">
        <v>156</v>
      </c>
      <c r="B30" s="169">
        <v>13158263</v>
      </c>
      <c r="C30" s="170">
        <v>12332221.390999999</v>
      </c>
      <c r="D30" s="171">
        <v>0</v>
      </c>
      <c r="E30" s="171">
        <v>0</v>
      </c>
      <c r="F30" s="172">
        <v>45489</v>
      </c>
      <c r="G30" s="170">
        <f t="shared" si="0"/>
        <v>45489</v>
      </c>
      <c r="H30" s="173">
        <f t="shared" si="1"/>
        <v>12377710.390999999</v>
      </c>
    </row>
    <row r="31" spans="1:8" x14ac:dyDescent="0.2">
      <c r="A31" s="168" t="s">
        <v>172</v>
      </c>
      <c r="C31" s="170">
        <v>9196916.6900000013</v>
      </c>
      <c r="D31" s="171">
        <v>0</v>
      </c>
      <c r="E31" s="171"/>
      <c r="F31" s="172"/>
      <c r="G31" s="170">
        <f t="shared" si="0"/>
        <v>0</v>
      </c>
      <c r="H31" s="173">
        <f t="shared" si="1"/>
        <v>9196916.6900000013</v>
      </c>
    </row>
    <row r="32" spans="1:8" x14ac:dyDescent="0.2">
      <c r="A32" s="168" t="s">
        <v>185</v>
      </c>
      <c r="B32" s="169">
        <v>3181056</v>
      </c>
      <c r="C32" s="170">
        <v>3022501.7190000005</v>
      </c>
      <c r="D32" s="171">
        <v>0</v>
      </c>
      <c r="E32" s="171"/>
      <c r="F32" s="172"/>
      <c r="G32" s="170">
        <f t="shared" si="0"/>
        <v>0</v>
      </c>
      <c r="H32" s="173">
        <f t="shared" si="1"/>
        <v>3022501.7190000005</v>
      </c>
    </row>
    <row r="33" spans="1:8" x14ac:dyDescent="0.2">
      <c r="A33" s="168" t="s">
        <v>118</v>
      </c>
      <c r="B33" s="169">
        <v>46652140</v>
      </c>
      <c r="C33" s="170">
        <v>49927458.536000006</v>
      </c>
      <c r="D33" s="171">
        <v>7211060</v>
      </c>
      <c r="E33" s="171">
        <v>5437510</v>
      </c>
      <c r="F33" s="172">
        <f>6019322-5437510</f>
        <v>581812</v>
      </c>
      <c r="G33" s="170">
        <f t="shared" si="0"/>
        <v>6019322</v>
      </c>
      <c r="H33" s="173">
        <f t="shared" si="1"/>
        <v>63157840.536000013</v>
      </c>
    </row>
    <row r="34" spans="1:8" x14ac:dyDescent="0.2">
      <c r="A34" s="168" t="s">
        <v>154</v>
      </c>
      <c r="B34" s="169">
        <f>4752655</f>
        <v>4752655</v>
      </c>
      <c r="C34" s="170">
        <v>4966682.0530000003</v>
      </c>
      <c r="D34" s="171">
        <f>228000+19800</f>
        <v>247800</v>
      </c>
      <c r="E34" s="171">
        <f>14000+80000</f>
        <v>94000</v>
      </c>
      <c r="F34" s="172">
        <f>200000+8200+2400</f>
        <v>210600</v>
      </c>
      <c r="G34" s="170">
        <f t="shared" si="0"/>
        <v>304600</v>
      </c>
      <c r="H34" s="173">
        <f t="shared" si="1"/>
        <v>5519082.0530000003</v>
      </c>
    </row>
    <row r="35" spans="1:8" x14ac:dyDescent="0.2">
      <c r="A35" s="168" t="s">
        <v>159</v>
      </c>
      <c r="B35" s="169">
        <f>4365869+952000</f>
        <v>5317869</v>
      </c>
      <c r="C35" s="170">
        <v>5556367.5319999997</v>
      </c>
      <c r="D35" s="171">
        <f>317892+180000</f>
        <v>497892</v>
      </c>
      <c r="E35" s="171">
        <v>0</v>
      </c>
      <c r="F35" s="172">
        <v>7000</v>
      </c>
      <c r="G35" s="170">
        <f t="shared" si="0"/>
        <v>7000</v>
      </c>
      <c r="H35" s="173">
        <f t="shared" si="1"/>
        <v>6061259.5319999997</v>
      </c>
    </row>
    <row r="36" spans="1:8" x14ac:dyDescent="0.2">
      <c r="A36" s="168" t="s">
        <v>145</v>
      </c>
      <c r="B36" s="169">
        <v>11389522</v>
      </c>
      <c r="C36" s="170">
        <v>11083570.993300002</v>
      </c>
      <c r="D36" s="171">
        <v>674016</v>
      </c>
      <c r="E36" s="171">
        <v>0</v>
      </c>
      <c r="F36" s="172">
        <v>0</v>
      </c>
      <c r="G36" s="170">
        <f t="shared" si="0"/>
        <v>0</v>
      </c>
      <c r="H36" s="173">
        <f t="shared" si="1"/>
        <v>11757586.993300002</v>
      </c>
    </row>
    <row r="37" spans="1:8" x14ac:dyDescent="0.2">
      <c r="A37" s="174" t="s">
        <v>173</v>
      </c>
      <c r="B37" s="169">
        <v>8315136</v>
      </c>
      <c r="C37" s="175">
        <v>9378060.5459999982</v>
      </c>
      <c r="D37" s="176">
        <v>498639</v>
      </c>
      <c r="E37" s="176">
        <v>812744</v>
      </c>
      <c r="F37" s="177">
        <f>10000+[1]Budget!$E$49</f>
        <v>877104</v>
      </c>
      <c r="G37" s="175">
        <f t="shared" si="0"/>
        <v>1689848</v>
      </c>
      <c r="H37" s="178">
        <f t="shared" si="1"/>
        <v>11566547.545999998</v>
      </c>
    </row>
    <row r="38" spans="1:8" x14ac:dyDescent="0.2">
      <c r="A38" s="168" t="s">
        <v>184</v>
      </c>
      <c r="B38" s="169">
        <f>2790709+15207+649800</f>
        <v>3455716</v>
      </c>
      <c r="C38" s="170">
        <v>4123515.0779999997</v>
      </c>
      <c r="D38" s="171">
        <f>295020+85782</f>
        <v>380802</v>
      </c>
      <c r="E38" s="171">
        <v>50000</v>
      </c>
      <c r="F38" s="172">
        <f>360976+9517</f>
        <v>370493</v>
      </c>
      <c r="G38" s="170">
        <f t="shared" si="0"/>
        <v>420493</v>
      </c>
      <c r="H38" s="173">
        <f t="shared" si="1"/>
        <v>4924810.0779999997</v>
      </c>
    </row>
    <row r="39" spans="1:8" x14ac:dyDescent="0.2">
      <c r="A39" s="168" t="s">
        <v>155</v>
      </c>
      <c r="B39" s="169">
        <f>'[2]Rev-DC'!$C$96</f>
        <v>5022049.7999047618</v>
      </c>
      <c r="C39" s="170">
        <v>5137131.9809999997</v>
      </c>
      <c r="D39" s="171">
        <f>'[2]Rev-Fed'!$C$33+'[2]Rev-Fed2'!$C$31</f>
        <v>403699.61853310047</v>
      </c>
      <c r="E39" s="171">
        <v>0</v>
      </c>
      <c r="F39" s="172">
        <v>0</v>
      </c>
      <c r="G39" s="170">
        <f t="shared" si="0"/>
        <v>0</v>
      </c>
      <c r="H39" s="173">
        <f t="shared" si="1"/>
        <v>5540831.5995330997</v>
      </c>
    </row>
    <row r="40" spans="1:8" x14ac:dyDescent="0.2">
      <c r="A40" s="168" t="s">
        <v>160</v>
      </c>
      <c r="B40" s="169">
        <f>2987608+630000</f>
        <v>3617608</v>
      </c>
      <c r="C40" s="170">
        <v>4045141.7239999999</v>
      </c>
      <c r="D40" s="171">
        <f>108357+86510</f>
        <v>194867</v>
      </c>
      <c r="E40" s="171">
        <v>162684</v>
      </c>
      <c r="F40" s="172">
        <v>300000</v>
      </c>
      <c r="G40" s="170">
        <f t="shared" si="0"/>
        <v>462684</v>
      </c>
      <c r="H40" s="173">
        <f t="shared" si="1"/>
        <v>4702692.7239999995</v>
      </c>
    </row>
    <row r="41" spans="1:8" x14ac:dyDescent="0.2">
      <c r="A41" s="168" t="s">
        <v>161</v>
      </c>
      <c r="B41" s="169">
        <f>3631050+1008000+6972096+114075</f>
        <v>11725221</v>
      </c>
      <c r="C41" s="170">
        <v>14055850.215999998</v>
      </c>
      <c r="D41" s="171">
        <f>340000+1370182</f>
        <v>1710182</v>
      </c>
      <c r="E41" s="171">
        <v>27600</v>
      </c>
      <c r="F41" s="172">
        <v>0</v>
      </c>
      <c r="G41" s="170">
        <f t="shared" si="0"/>
        <v>27600</v>
      </c>
      <c r="H41" s="173">
        <f t="shared" si="1"/>
        <v>15793632.215999998</v>
      </c>
    </row>
    <row r="42" spans="1:8" x14ac:dyDescent="0.2">
      <c r="A42" s="168" t="s">
        <v>146</v>
      </c>
      <c r="B42" s="169">
        <v>8209544</v>
      </c>
      <c r="C42" s="170">
        <v>7792684.5920000002</v>
      </c>
      <c r="D42" s="171">
        <v>0</v>
      </c>
      <c r="E42" s="171"/>
      <c r="F42" s="172"/>
      <c r="G42" s="170">
        <f t="shared" si="0"/>
        <v>0</v>
      </c>
      <c r="H42" s="173">
        <f t="shared" si="1"/>
        <v>7792684.5920000002</v>
      </c>
    </row>
    <row r="43" spans="1:8" x14ac:dyDescent="0.2">
      <c r="A43" s="168" t="s">
        <v>177</v>
      </c>
      <c r="B43" s="169">
        <f>14520768</f>
        <v>14520768</v>
      </c>
      <c r="C43" s="170">
        <v>14963231.934999999</v>
      </c>
      <c r="D43" s="171">
        <f>1074177+528361</f>
        <v>1602538</v>
      </c>
      <c r="E43" s="171">
        <v>26426</v>
      </c>
      <c r="F43" s="172">
        <v>169114</v>
      </c>
      <c r="G43" s="170">
        <f t="shared" si="0"/>
        <v>195540</v>
      </c>
      <c r="H43" s="173">
        <f t="shared" si="1"/>
        <v>16761309.934999999</v>
      </c>
    </row>
    <row r="44" spans="1:8" x14ac:dyDescent="0.2">
      <c r="A44" s="168" t="s">
        <v>162</v>
      </c>
      <c r="B44" s="169">
        <f>'[3]Operating Budget'!$F$5+'[3]Operating Budget'!$F$6</f>
        <v>5622804.0477981651</v>
      </c>
      <c r="C44" s="170">
        <v>5904389.1090000002</v>
      </c>
      <c r="D44" s="171">
        <f>'[3]Operating Budget'!$F$7+'[3]Operating Budget'!$F$8</f>
        <v>539451.83119266061</v>
      </c>
      <c r="E44" s="171">
        <v>3041</v>
      </c>
      <c r="F44" s="172">
        <f>24330+13717</f>
        <v>38047</v>
      </c>
      <c r="G44" s="170">
        <f t="shared" si="0"/>
        <v>41088</v>
      </c>
      <c r="H44" s="173">
        <f t="shared" si="1"/>
        <v>6484928.9401926603</v>
      </c>
    </row>
    <row r="45" spans="1:8" x14ac:dyDescent="0.2">
      <c r="A45" s="168" t="s">
        <v>187</v>
      </c>
      <c r="B45" s="169">
        <f>3292496+113547+749550</f>
        <v>4155593</v>
      </c>
      <c r="C45" s="170">
        <v>3425540.0429999996</v>
      </c>
      <c r="D45" s="171">
        <f>480869+110202</f>
        <v>591071</v>
      </c>
      <c r="E45" s="171">
        <v>10000</v>
      </c>
      <c r="F45" s="172">
        <f>1510+704</f>
        <v>2214</v>
      </c>
      <c r="G45" s="170">
        <f t="shared" si="0"/>
        <v>12214</v>
      </c>
      <c r="H45" s="173">
        <f t="shared" si="1"/>
        <v>4028825.0429999996</v>
      </c>
    </row>
    <row r="46" spans="1:8" x14ac:dyDescent="0.2">
      <c r="A46" s="168" t="s">
        <v>163</v>
      </c>
      <c r="B46" s="169">
        <f>1250887+360000+53649+136890</f>
        <v>1801426</v>
      </c>
      <c r="C46" s="170">
        <v>1685793.9089999998</v>
      </c>
      <c r="D46" s="171">
        <v>96000</v>
      </c>
      <c r="E46" s="171">
        <v>0</v>
      </c>
      <c r="F46" s="172">
        <f>'[4]2010 BUDGET'!$D$19+'[4]2010 BUDGET'!$D$22+'[4]2010 BUDGET'!$D$23+'[4]2010 BUDGET'!$D$24+'[4]2010 BUDGET'!$D$27</f>
        <v>32574</v>
      </c>
      <c r="G46" s="170">
        <f t="shared" si="0"/>
        <v>32574</v>
      </c>
      <c r="H46" s="173">
        <f t="shared" si="1"/>
        <v>1814367.9089999998</v>
      </c>
    </row>
    <row r="47" spans="1:8" x14ac:dyDescent="0.2">
      <c r="A47" s="168" t="s">
        <v>165</v>
      </c>
      <c r="B47" s="169">
        <f>[5]Sheet1!$D$10</f>
        <v>12864905</v>
      </c>
      <c r="C47" s="170">
        <v>12154891</v>
      </c>
      <c r="D47" s="171">
        <f>[5]Sheet1!$D$11</f>
        <v>170000</v>
      </c>
      <c r="E47" s="171">
        <v>0</v>
      </c>
      <c r="F47" s="172">
        <v>3485788</v>
      </c>
      <c r="G47" s="170">
        <f t="shared" si="0"/>
        <v>3485788</v>
      </c>
      <c r="H47" s="173">
        <f t="shared" si="1"/>
        <v>15810679</v>
      </c>
    </row>
    <row r="48" spans="1:8" x14ac:dyDescent="0.2">
      <c r="A48" s="168" t="s">
        <v>178</v>
      </c>
      <c r="B48" s="169">
        <v>12805751</v>
      </c>
      <c r="C48" s="170">
        <v>12924624.781699998</v>
      </c>
      <c r="D48" s="171">
        <f>130000+794280</f>
        <v>924280</v>
      </c>
      <c r="E48" s="171">
        <v>500000</v>
      </c>
      <c r="F48" s="172">
        <v>45000</v>
      </c>
      <c r="G48" s="170">
        <f t="shared" si="0"/>
        <v>545000</v>
      </c>
      <c r="H48" s="173">
        <f t="shared" si="1"/>
        <v>14393904.781699998</v>
      </c>
    </row>
    <row r="49" spans="1:8" x14ac:dyDescent="0.2">
      <c r="A49" s="174" t="s">
        <v>164</v>
      </c>
      <c r="B49" s="169">
        <f>2866045+716800</f>
        <v>3582845</v>
      </c>
      <c r="C49" s="175">
        <v>3570130.6259999997</v>
      </c>
      <c r="D49" s="176">
        <f>144839+184327</f>
        <v>329166</v>
      </c>
      <c r="E49" s="176">
        <v>361500</v>
      </c>
      <c r="F49" s="177">
        <f>55760+200000</f>
        <v>255760</v>
      </c>
      <c r="G49" s="175">
        <f t="shared" si="0"/>
        <v>617260</v>
      </c>
      <c r="H49" s="178">
        <f t="shared" si="1"/>
        <v>4516556.6260000002</v>
      </c>
    </row>
    <row r="50" spans="1:8" x14ac:dyDescent="0.2">
      <c r="A50" s="168" t="s">
        <v>186</v>
      </c>
      <c r="B50" s="169">
        <f>804476+171390</f>
        <v>975866</v>
      </c>
      <c r="C50" s="170">
        <v>898752.92500000005</v>
      </c>
      <c r="D50" s="171">
        <v>229578</v>
      </c>
      <c r="E50" s="171">
        <v>26961</v>
      </c>
      <c r="F50" s="172">
        <v>0</v>
      </c>
      <c r="G50" s="170">
        <f t="shared" si="0"/>
        <v>26961</v>
      </c>
      <c r="H50" s="173">
        <f t="shared" si="1"/>
        <v>1155291.925</v>
      </c>
    </row>
    <row r="51" spans="1:8" x14ac:dyDescent="0.2">
      <c r="A51" s="168" t="s">
        <v>39</v>
      </c>
      <c r="B51" s="169">
        <f>'[6]TMA Budget FY13'!$B$6+'[6]TMA Budget FY13'!$B$17+'[6]TMA Budget FY13'!$B$39+'[6]TMA Budget FY13'!$B$61</f>
        <v>5907194.7599999998</v>
      </c>
      <c r="C51" s="170">
        <v>6130327.5039999988</v>
      </c>
      <c r="D51" s="171">
        <f>'[6]TMA Budget FY13'!$B$73+'[6]TMA Budget FY13'!$B$84+'[6]TMA Budget FY13'!$B$95+'[6]TMA Budget FY13'!$B$107</f>
        <v>1373635.1333333333</v>
      </c>
      <c r="E51" s="171">
        <f>'[6]TMA Budget FY13'!$B$128+'[6]TMA Budget FY13'!$B$140</f>
        <v>1275006</v>
      </c>
      <c r="F51" s="172">
        <f>'[6]TMA Budget FY13'!$B$152+'[6]TMA Budget FY13'!$B$163+'[6]TMA Budget FY13'!$B$174+'[6]TMA Budget FY13'!$B$186+'[6]TMA Budget FY13'!$B$197+'[6]TMA Budget FY13'!$B$208+'[6]TMA Budget FY13'!$B$220+'[6]TMA Budget FY13'!$B$231+'[6]TMA Budget FY13'!$B$242</f>
        <v>387350</v>
      </c>
      <c r="G51" s="170">
        <f t="shared" si="0"/>
        <v>1662356</v>
      </c>
      <c r="H51" s="173">
        <f t="shared" si="1"/>
        <v>9166318.6373333316</v>
      </c>
    </row>
    <row r="52" spans="1:8" x14ac:dyDescent="0.2">
      <c r="A52" s="168" t="s">
        <v>166</v>
      </c>
      <c r="B52" s="169">
        <f>3570730+39415+100000+193883+975000</f>
        <v>4879028</v>
      </c>
      <c r="C52" s="170">
        <v>4902237.7949999999</v>
      </c>
      <c r="D52" s="171">
        <f>'[7]Budget &amp; YTD'!$N$10+245000</f>
        <v>594000</v>
      </c>
      <c r="E52" s="171">
        <v>0</v>
      </c>
      <c r="F52" s="172">
        <f>100000+105146</f>
        <v>205146</v>
      </c>
      <c r="G52" s="170">
        <f t="shared" si="0"/>
        <v>205146</v>
      </c>
      <c r="H52" s="173">
        <f t="shared" si="1"/>
        <v>5701383.7949999999</v>
      </c>
    </row>
    <row r="53" spans="1:8" x14ac:dyDescent="0.2">
      <c r="A53" s="168" t="s">
        <v>167</v>
      </c>
      <c r="B53" s="169">
        <f>6331470+1494000</f>
        <v>7825470</v>
      </c>
      <c r="C53" s="170">
        <v>7529945.3069999991</v>
      </c>
      <c r="D53" s="171">
        <f>118399+378702</f>
        <v>497101</v>
      </c>
      <c r="E53" s="171">
        <v>165000</v>
      </c>
      <c r="F53" s="172">
        <v>65722</v>
      </c>
      <c r="G53" s="170">
        <f t="shared" si="0"/>
        <v>230722</v>
      </c>
      <c r="H53" s="173">
        <f t="shared" si="1"/>
        <v>8257768.307</v>
      </c>
    </row>
    <row r="54" spans="1:8" x14ac:dyDescent="0.2">
      <c r="A54" s="168" t="s">
        <v>174</v>
      </c>
      <c r="B54" s="169">
        <f>'[8]Budget FY13 Detailed'!$B$9+'[8]Budget FY13 Detailed'!$B$12</f>
        <v>8153858.0429999987</v>
      </c>
      <c r="C54" s="170">
        <v>8387573.8129999992</v>
      </c>
      <c r="D54" s="171">
        <f>'[8]Budget FY13 Detailed'!$B$15+'[8]Budget FY13 Detailed'!$B$19+'[8]Budget FY13 Detailed'!$B$21</f>
        <v>155000</v>
      </c>
      <c r="E54" s="171">
        <v>300000</v>
      </c>
      <c r="F54" s="172">
        <v>182700</v>
      </c>
      <c r="G54" s="170">
        <f t="shared" si="0"/>
        <v>482700</v>
      </c>
      <c r="H54" s="173">
        <f t="shared" si="1"/>
        <v>9025273.8129999992</v>
      </c>
    </row>
    <row r="55" spans="1:8" x14ac:dyDescent="0.2">
      <c r="A55" s="168" t="s">
        <v>169</v>
      </c>
      <c r="B55" s="169">
        <v>7314546</v>
      </c>
      <c r="C55" s="170">
        <v>6786878.2889999999</v>
      </c>
      <c r="D55" s="171">
        <v>0</v>
      </c>
      <c r="E55" s="171"/>
      <c r="F55" s="172"/>
      <c r="G55" s="170">
        <v>0</v>
      </c>
      <c r="H55" s="173">
        <f t="shared" si="1"/>
        <v>6786878.2889999999</v>
      </c>
    </row>
    <row r="56" spans="1:8" x14ac:dyDescent="0.2">
      <c r="A56" s="168" t="s">
        <v>175</v>
      </c>
      <c r="B56" s="169">
        <f>5119238+456195+1380000</f>
        <v>6955433</v>
      </c>
      <c r="C56" s="170">
        <v>6517002.9280000003</v>
      </c>
      <c r="D56" s="171">
        <f>254858+624846</f>
        <v>879704</v>
      </c>
      <c r="E56" s="171">
        <v>10000</v>
      </c>
      <c r="F56" s="172">
        <f>79142-10000</f>
        <v>69142</v>
      </c>
      <c r="G56" s="170">
        <f t="shared" si="0"/>
        <v>79142</v>
      </c>
      <c r="H56" s="173">
        <f t="shared" si="1"/>
        <v>7475848.9280000003</v>
      </c>
    </row>
    <row r="57" spans="1:8" x14ac:dyDescent="0.2">
      <c r="A57" s="168" t="s">
        <v>168</v>
      </c>
      <c r="B57" s="169">
        <f>[9]Sheet1!$C$5+[9]Sheet1!$C$7+[9]Sheet1!$C$8+[9]Sheet1!$C$14</f>
        <v>5508619.0899999999</v>
      </c>
      <c r="C57" s="170">
        <v>5753183.341</v>
      </c>
      <c r="D57" s="171">
        <f>[9]Sheet1!$C$6+[9]Sheet1!$C$11+[9]Sheet1!$C$10+[9]Sheet1!$C$9</f>
        <v>551000</v>
      </c>
      <c r="E57" s="171">
        <v>100000</v>
      </c>
      <c r="F57" s="172">
        <v>0</v>
      </c>
      <c r="G57" s="170">
        <f t="shared" si="0"/>
        <v>100000</v>
      </c>
      <c r="H57" s="173">
        <f t="shared" si="1"/>
        <v>6404183.341</v>
      </c>
    </row>
    <row r="58" spans="1:8" x14ac:dyDescent="0.2">
      <c r="A58" s="174" t="s">
        <v>170</v>
      </c>
      <c r="B58" s="169">
        <f>[10]Sheet1!$B$13</f>
        <v>1857029.86</v>
      </c>
      <c r="C58" s="170">
        <v>2085552.4029999999</v>
      </c>
      <c r="D58" s="171">
        <f>[10]Sheet1!$B$19</f>
        <v>682226</v>
      </c>
      <c r="E58" s="171">
        <f>[10]Sheet1!$B$23</f>
        <v>55250</v>
      </c>
      <c r="F58" s="172">
        <v>0</v>
      </c>
      <c r="G58" s="170">
        <f t="shared" si="0"/>
        <v>55250</v>
      </c>
      <c r="H58" s="173">
        <f t="shared" si="1"/>
        <v>2823028.4029999999</v>
      </c>
    </row>
    <row r="59" spans="1:8" s="187" customFormat="1" ht="13.5" thickBot="1" x14ac:dyDescent="0.25">
      <c r="A59" s="183" t="s">
        <v>194</v>
      </c>
      <c r="B59" s="184">
        <f t="shared" ref="B59:H59" si="2">SUM(B2:B58)</f>
        <v>537753260.60070288</v>
      </c>
      <c r="C59" s="185">
        <f t="shared" si="2"/>
        <v>559954257.523</v>
      </c>
      <c r="D59" s="185">
        <f t="shared" si="2"/>
        <v>50602184.153059088</v>
      </c>
      <c r="E59" s="185">
        <f t="shared" si="2"/>
        <v>16372885</v>
      </c>
      <c r="F59" s="185">
        <f t="shared" si="2"/>
        <v>15595738</v>
      </c>
      <c r="G59" s="185">
        <f t="shared" si="2"/>
        <v>31968623</v>
      </c>
      <c r="H59" s="186">
        <f t="shared" si="2"/>
        <v>642525064.67605901</v>
      </c>
    </row>
    <row r="60" spans="1:8" ht="13.5" thickTop="1" x14ac:dyDescent="0.2">
      <c r="A60" s="167"/>
    </row>
    <row r="63" spans="1:8" x14ac:dyDescent="0.2">
      <c r="H63" s="189"/>
    </row>
  </sheetData>
  <printOptions verticalCentered="1"/>
  <pageMargins left="0.71" right="0.17" top="0.73" bottom="0.23" header="0.3" footer="0.16"/>
  <pageSetup paperSize="3" scale="90" orientation="landscape" r:id="rId1"/>
  <headerFooter>
    <oddHeader>&amp;C&amp;"Arial,Bold"&amp;14FY2013 Public Charter School Revenue Report  
(unaudited)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topLeftCell="A28" zoomScaleSheetLayoutView="90" workbookViewId="0">
      <selection activeCell="E197" sqref="E197"/>
    </sheetView>
  </sheetViews>
  <sheetFormatPr defaultColWidth="8.85546875" defaultRowHeight="16.899999999999999" customHeight="1" x14ac:dyDescent="0.2"/>
  <cols>
    <col min="1" max="1" width="43" style="1" customWidth="1"/>
    <col min="2" max="4" width="13.28515625" style="1" hidden="1" customWidth="1"/>
    <col min="5" max="6" width="13.28515625" style="1" customWidth="1"/>
    <col min="7" max="7" width="74.7109375" style="1" customWidth="1"/>
    <col min="8" max="16384" width="8.85546875" style="1"/>
  </cols>
  <sheetData>
    <row r="1" spans="1:7" ht="21" customHeight="1" x14ac:dyDescent="0.2">
      <c r="A1" s="198"/>
      <c r="B1" s="199"/>
      <c r="C1" s="199"/>
      <c r="D1" s="199"/>
      <c r="E1" s="199"/>
      <c r="F1" s="199"/>
      <c r="G1" s="200"/>
    </row>
    <row r="2" spans="1:7" ht="21" customHeight="1" x14ac:dyDescent="0.2">
      <c r="A2" s="190" t="s">
        <v>63</v>
      </c>
      <c r="B2" s="201"/>
      <c r="C2" s="201"/>
      <c r="D2" s="201"/>
      <c r="E2" s="201"/>
      <c r="F2" s="201"/>
      <c r="G2" s="202"/>
    </row>
    <row r="3" spans="1:7" ht="21" customHeight="1" x14ac:dyDescent="0.2">
      <c r="A3" s="190" t="s">
        <v>136</v>
      </c>
      <c r="B3" s="201"/>
      <c r="C3" s="201"/>
      <c r="D3" s="201"/>
      <c r="E3" s="201" t="s">
        <v>36</v>
      </c>
      <c r="F3" s="201"/>
      <c r="G3" s="202"/>
    </row>
    <row r="4" spans="1:7" ht="21" customHeight="1" x14ac:dyDescent="0.2">
      <c r="A4" s="190" t="s">
        <v>38</v>
      </c>
      <c r="B4" s="201"/>
      <c r="C4" s="201"/>
      <c r="D4" s="201"/>
      <c r="E4" s="201"/>
      <c r="F4" s="201"/>
      <c r="G4" s="202"/>
    </row>
    <row r="5" spans="1:7" ht="16.899999999999999" customHeight="1" x14ac:dyDescent="0.2">
      <c r="A5" s="190"/>
      <c r="B5" s="201"/>
      <c r="C5" s="201"/>
      <c r="D5" s="201"/>
      <c r="E5" s="201"/>
      <c r="F5" s="201"/>
      <c r="G5" s="202"/>
    </row>
    <row r="6" spans="1:7" ht="16.899999999999999" customHeight="1" x14ac:dyDescent="0.2">
      <c r="A6" s="48" t="s">
        <v>6</v>
      </c>
      <c r="B6" s="49">
        <v>2013</v>
      </c>
      <c r="C6" s="49">
        <v>2012</v>
      </c>
      <c r="D6" s="49">
        <v>2011</v>
      </c>
      <c r="E6" s="49">
        <v>2010</v>
      </c>
      <c r="F6" s="49">
        <v>2009</v>
      </c>
      <c r="G6" s="57" t="s">
        <v>86</v>
      </c>
    </row>
    <row r="7" spans="1:7" ht="16.899999999999999" customHeight="1" x14ac:dyDescent="0.2">
      <c r="A7" s="50" t="s">
        <v>80</v>
      </c>
      <c r="B7" s="51"/>
      <c r="C7" s="51"/>
      <c r="D7" s="51"/>
      <c r="E7" s="51"/>
      <c r="F7" s="51"/>
      <c r="G7" s="58"/>
    </row>
    <row r="8" spans="1:7" ht="22.9" customHeight="1" x14ac:dyDescent="0.2">
      <c r="A8" s="63" t="s">
        <v>81</v>
      </c>
      <c r="B8" s="196"/>
      <c r="C8" s="197"/>
      <c r="D8" s="197"/>
      <c r="E8" s="197"/>
      <c r="F8" s="197"/>
      <c r="G8" s="59"/>
    </row>
    <row r="9" spans="1:7" ht="22.9" customHeight="1" x14ac:dyDescent="0.2">
      <c r="A9" s="63" t="s">
        <v>82</v>
      </c>
      <c r="B9" s="94"/>
      <c r="C9" s="94"/>
      <c r="D9" s="94"/>
      <c r="E9" s="94"/>
      <c r="F9" s="94"/>
      <c r="G9" s="59"/>
    </row>
    <row r="10" spans="1:7" ht="12" customHeight="1" x14ac:dyDescent="0.2">
      <c r="A10" s="54"/>
      <c r="B10" s="51"/>
      <c r="C10" s="51"/>
      <c r="D10" s="51"/>
      <c r="E10" s="51"/>
      <c r="F10" s="51"/>
      <c r="G10" s="59"/>
    </row>
    <row r="11" spans="1:7" ht="16.899999999999999" customHeight="1" x14ac:dyDescent="0.2">
      <c r="A11" s="50" t="s">
        <v>77</v>
      </c>
      <c r="B11" s="55" t="str">
        <f>B75</f>
        <v xml:space="preserve"> </v>
      </c>
      <c r="C11" s="56" t="str">
        <f>C75</f>
        <v xml:space="preserve"> </v>
      </c>
      <c r="D11" s="56" t="str">
        <f>D75</f>
        <v xml:space="preserve"> </v>
      </c>
      <c r="E11" s="56"/>
      <c r="F11" s="53"/>
      <c r="G11" s="59"/>
    </row>
    <row r="12" spans="1:7" ht="22.9" customHeight="1" x14ac:dyDescent="0.2">
      <c r="A12" s="63" t="s">
        <v>83</v>
      </c>
      <c r="B12" s="65">
        <f>B54</f>
        <v>0</v>
      </c>
      <c r="C12" s="65">
        <f>C54</f>
        <v>0</v>
      </c>
      <c r="D12" s="65">
        <f>D54</f>
        <v>0</v>
      </c>
      <c r="E12" s="65">
        <f>E54</f>
        <v>0</v>
      </c>
      <c r="F12" s="65">
        <f>F54</f>
        <v>0</v>
      </c>
      <c r="G12" s="61"/>
    </row>
    <row r="13" spans="1:7" ht="22.9" customHeight="1" x14ac:dyDescent="0.2">
      <c r="A13" s="63" t="s">
        <v>84</v>
      </c>
      <c r="B13" s="65">
        <f>B65</f>
        <v>0</v>
      </c>
      <c r="C13" s="65">
        <f>C65</f>
        <v>0</v>
      </c>
      <c r="D13" s="65">
        <f>D65</f>
        <v>0</v>
      </c>
      <c r="E13" s="65">
        <f>E65</f>
        <v>0</v>
      </c>
      <c r="F13" s="65">
        <f>F65</f>
        <v>0</v>
      </c>
      <c r="G13" s="61"/>
    </row>
    <row r="14" spans="1:7" ht="22.9" customHeight="1" x14ac:dyDescent="0.2">
      <c r="A14" s="63" t="str">
        <f t="shared" ref="A14:F18" si="0">A76</f>
        <v>Current Ratio</v>
      </c>
      <c r="B14" s="66" t="e">
        <f t="shared" si="0"/>
        <v>#DIV/0!</v>
      </c>
      <c r="C14" s="66" t="e">
        <f t="shared" si="0"/>
        <v>#DIV/0!</v>
      </c>
      <c r="D14" s="66" t="e">
        <f t="shared" si="0"/>
        <v>#DIV/0!</v>
      </c>
      <c r="E14" s="67" t="e">
        <f t="shared" si="0"/>
        <v>#DIV/0!</v>
      </c>
      <c r="F14" s="67" t="e">
        <f t="shared" si="0"/>
        <v>#DIV/0!</v>
      </c>
      <c r="G14" s="62" t="s">
        <v>96</v>
      </c>
    </row>
    <row r="15" spans="1:7" ht="22.9" customHeight="1" x14ac:dyDescent="0.2">
      <c r="A15" s="63" t="str">
        <f t="shared" si="0"/>
        <v>Months of Cash</v>
      </c>
      <c r="B15" s="67" t="e">
        <f t="shared" si="0"/>
        <v>#DIV/0!</v>
      </c>
      <c r="C15" s="67" t="e">
        <f t="shared" si="0"/>
        <v>#DIV/0!</v>
      </c>
      <c r="D15" s="67" t="e">
        <f t="shared" si="0"/>
        <v>#DIV/0!</v>
      </c>
      <c r="E15" s="67" t="e">
        <f t="shared" si="0"/>
        <v>#DIV/0!</v>
      </c>
      <c r="F15" s="67" t="e">
        <f t="shared" si="0"/>
        <v>#DIV/0!</v>
      </c>
      <c r="G15" s="62" t="s">
        <v>124</v>
      </c>
    </row>
    <row r="16" spans="1:7" ht="22.9" customHeight="1" x14ac:dyDescent="0.2">
      <c r="A16" s="63" t="str">
        <f t="shared" si="0"/>
        <v>Debt Ratio</v>
      </c>
      <c r="B16" s="68" t="e">
        <f t="shared" si="0"/>
        <v>#DIV/0!</v>
      </c>
      <c r="C16" s="68" t="e">
        <f t="shared" si="0"/>
        <v>#DIV/0!</v>
      </c>
      <c r="D16" s="68" t="e">
        <f t="shared" si="0"/>
        <v>#DIV/0!</v>
      </c>
      <c r="E16" s="68" t="e">
        <f t="shared" si="0"/>
        <v>#DIV/0!</v>
      </c>
      <c r="F16" s="68" t="e">
        <f t="shared" si="0"/>
        <v>#DIV/0!</v>
      </c>
      <c r="G16" s="88" t="s">
        <v>125</v>
      </c>
    </row>
    <row r="17" spans="1:7" ht="22.9" customHeight="1" x14ac:dyDescent="0.2">
      <c r="A17" s="63" t="str">
        <f>A79</f>
        <v>Debt to Worth Ratio</v>
      </c>
      <c r="B17" s="64" t="e">
        <f t="shared" si="0"/>
        <v>#DIV/0!</v>
      </c>
      <c r="C17" s="64" t="e">
        <f t="shared" si="0"/>
        <v>#DIV/0!</v>
      </c>
      <c r="D17" s="64" t="e">
        <f t="shared" si="0"/>
        <v>#DIV/0!</v>
      </c>
      <c r="E17" s="101" t="e">
        <f t="shared" si="0"/>
        <v>#DIV/0!</v>
      </c>
      <c r="F17" s="101" t="e">
        <f t="shared" si="0"/>
        <v>#DIV/0!</v>
      </c>
      <c r="G17" s="89" t="s">
        <v>141</v>
      </c>
    </row>
    <row r="18" spans="1:7" ht="22.9" customHeight="1" x14ac:dyDescent="0.2">
      <c r="A18" s="63" t="str">
        <f>A80</f>
        <v>Capitalization Ratio</v>
      </c>
      <c r="B18" s="64" t="e">
        <f t="shared" si="0"/>
        <v>#DIV/0!</v>
      </c>
      <c r="C18" s="64" t="e">
        <f t="shared" si="0"/>
        <v>#DIV/0!</v>
      </c>
      <c r="D18" s="64" t="e">
        <f t="shared" si="0"/>
        <v>#DIV/0!</v>
      </c>
      <c r="E18" s="101" t="e">
        <f t="shared" si="0"/>
        <v>#DIV/0!</v>
      </c>
      <c r="F18" s="101" t="e">
        <f t="shared" si="0"/>
        <v>#DIV/0!</v>
      </c>
      <c r="G18" s="89" t="s">
        <v>143</v>
      </c>
    </row>
    <row r="19" spans="1:7" ht="22.9" customHeight="1" x14ac:dyDescent="0.2">
      <c r="A19" s="63" t="str">
        <f t="shared" ref="A19:F22" si="1">A81</f>
        <v>Net Asset Position</v>
      </c>
      <c r="B19" s="69">
        <f t="shared" si="1"/>
        <v>0</v>
      </c>
      <c r="C19" s="69">
        <f t="shared" si="1"/>
        <v>0</v>
      </c>
      <c r="D19" s="69">
        <f t="shared" si="1"/>
        <v>0</v>
      </c>
      <c r="E19" s="69">
        <f t="shared" si="1"/>
        <v>0</v>
      </c>
      <c r="F19" s="69">
        <f t="shared" si="1"/>
        <v>0</v>
      </c>
      <c r="G19" s="88" t="s">
        <v>97</v>
      </c>
    </row>
    <row r="20" spans="1:7" ht="22.9" customHeight="1" x14ac:dyDescent="0.2">
      <c r="A20" s="63" t="s">
        <v>110</v>
      </c>
      <c r="B20" s="90" t="e">
        <f t="shared" si="1"/>
        <v>#DIV/0!</v>
      </c>
      <c r="C20" s="90" t="e">
        <f t="shared" si="1"/>
        <v>#DIV/0!</v>
      </c>
      <c r="D20" s="90" t="e">
        <f t="shared" si="1"/>
        <v>#DIV/0!</v>
      </c>
      <c r="E20" s="90" t="e">
        <f t="shared" si="1"/>
        <v>#DIV/0!</v>
      </c>
      <c r="F20" s="90" t="e">
        <f t="shared" si="1"/>
        <v>#DIV/0!</v>
      </c>
      <c r="G20" s="77" t="s">
        <v>126</v>
      </c>
    </row>
    <row r="21" spans="1:7" ht="22.9" customHeight="1" x14ac:dyDescent="0.2">
      <c r="A21" s="63" t="s">
        <v>89</v>
      </c>
      <c r="B21" s="69">
        <f t="shared" si="1"/>
        <v>0</v>
      </c>
      <c r="C21" s="69">
        <f t="shared" si="1"/>
        <v>0</v>
      </c>
      <c r="D21" s="69">
        <f t="shared" si="1"/>
        <v>0</v>
      </c>
      <c r="E21" s="69">
        <f t="shared" si="1"/>
        <v>0</v>
      </c>
      <c r="F21" s="69">
        <f t="shared" si="1"/>
        <v>0</v>
      </c>
      <c r="G21" s="77" t="s">
        <v>127</v>
      </c>
    </row>
    <row r="22" spans="1:7" ht="22.9" customHeight="1" x14ac:dyDescent="0.2">
      <c r="A22" s="63" t="s">
        <v>107</v>
      </c>
      <c r="B22" s="70" t="e">
        <f t="shared" si="1"/>
        <v>#DIV/0!</v>
      </c>
      <c r="C22" s="70" t="e">
        <f t="shared" si="1"/>
        <v>#DIV/0!</v>
      </c>
      <c r="D22" s="70" t="e">
        <f t="shared" si="1"/>
        <v>#DIV/0!</v>
      </c>
      <c r="E22" s="70" t="e">
        <f t="shared" si="1"/>
        <v>#DIV/0!</v>
      </c>
      <c r="F22" s="70" t="e">
        <f t="shared" si="1"/>
        <v>#DIV/0!</v>
      </c>
      <c r="G22" s="77" t="s">
        <v>108</v>
      </c>
    </row>
    <row r="23" spans="1:7" ht="12" customHeight="1" x14ac:dyDescent="0.2">
      <c r="A23" s="52"/>
      <c r="B23" s="53"/>
      <c r="C23" s="53"/>
      <c r="D23" s="53"/>
      <c r="E23" s="53"/>
      <c r="F23" s="53"/>
      <c r="G23" s="60"/>
    </row>
    <row r="24" spans="1:7" ht="16.899999999999999" customHeight="1" x14ac:dyDescent="0.2">
      <c r="A24" s="50" t="s">
        <v>78</v>
      </c>
      <c r="B24" s="56" t="str">
        <f>B118</f>
        <v xml:space="preserve"> </v>
      </c>
      <c r="C24" s="56" t="str">
        <f>C118</f>
        <v xml:space="preserve"> </v>
      </c>
      <c r="D24" s="56" t="str">
        <f>D118</f>
        <v xml:space="preserve"> </v>
      </c>
      <c r="E24" s="56" t="str">
        <f>E118</f>
        <v xml:space="preserve"> </v>
      </c>
      <c r="F24" s="56"/>
      <c r="G24" s="60"/>
    </row>
    <row r="25" spans="1:7" ht="22.9" customHeight="1" x14ac:dyDescent="0.2">
      <c r="A25" s="63" t="s">
        <v>85</v>
      </c>
      <c r="B25" s="65">
        <f>B97</f>
        <v>0</v>
      </c>
      <c r="C25" s="65">
        <f>C97</f>
        <v>0</v>
      </c>
      <c r="D25" s="65">
        <f>D97</f>
        <v>0</v>
      </c>
      <c r="E25" s="65">
        <f>E97</f>
        <v>0</v>
      </c>
      <c r="F25" s="65">
        <f>F97</f>
        <v>0</v>
      </c>
      <c r="G25" s="61"/>
    </row>
    <row r="26" spans="1:7" ht="22.9" customHeight="1" x14ac:dyDescent="0.2">
      <c r="A26" s="63" t="s">
        <v>37</v>
      </c>
      <c r="B26" s="65">
        <f>B110</f>
        <v>0</v>
      </c>
      <c r="C26" s="65">
        <f>C110</f>
        <v>0</v>
      </c>
      <c r="D26" s="65">
        <f>D110</f>
        <v>0</v>
      </c>
      <c r="E26" s="65">
        <f>E110</f>
        <v>0</v>
      </c>
      <c r="F26" s="65">
        <f>F110</f>
        <v>0</v>
      </c>
      <c r="G26" s="61"/>
    </row>
    <row r="27" spans="1:7" ht="22.9" customHeight="1" x14ac:dyDescent="0.2">
      <c r="A27" s="63" t="s">
        <v>128</v>
      </c>
      <c r="B27" s="65">
        <f>B115</f>
        <v>0</v>
      </c>
      <c r="C27" s="65">
        <f>C115</f>
        <v>0</v>
      </c>
      <c r="D27" s="65">
        <f>D115</f>
        <v>0</v>
      </c>
      <c r="E27" s="65">
        <f>E115</f>
        <v>0</v>
      </c>
      <c r="F27" s="65">
        <f>F115</f>
        <v>0</v>
      </c>
      <c r="G27" s="84" t="s">
        <v>129</v>
      </c>
    </row>
    <row r="28" spans="1:7" ht="22.9" customHeight="1" x14ac:dyDescent="0.2">
      <c r="A28" s="63" t="s">
        <v>103</v>
      </c>
      <c r="B28" s="65" t="e">
        <f t="shared" ref="B28:F31" si="2">B119</f>
        <v>#DIV/0!</v>
      </c>
      <c r="C28" s="65" t="e">
        <f t="shared" si="2"/>
        <v>#DIV/0!</v>
      </c>
      <c r="D28" s="65" t="e">
        <f t="shared" si="2"/>
        <v>#DIV/0!</v>
      </c>
      <c r="E28" s="65" t="e">
        <f t="shared" si="2"/>
        <v>#DIV/0!</v>
      </c>
      <c r="F28" s="65" t="e">
        <f t="shared" si="2"/>
        <v>#DIV/0!</v>
      </c>
      <c r="G28" s="62" t="s">
        <v>105</v>
      </c>
    </row>
    <row r="29" spans="1:7" ht="22.9" customHeight="1" x14ac:dyDescent="0.2">
      <c r="A29" s="63" t="s">
        <v>104</v>
      </c>
      <c r="B29" s="65" t="e">
        <f t="shared" si="2"/>
        <v>#DIV/0!</v>
      </c>
      <c r="C29" s="65" t="e">
        <f t="shared" si="2"/>
        <v>#DIV/0!</v>
      </c>
      <c r="D29" s="65" t="e">
        <f t="shared" si="2"/>
        <v>#DIV/0!</v>
      </c>
      <c r="E29" s="65" t="e">
        <f t="shared" si="2"/>
        <v>#DIV/0!</v>
      </c>
      <c r="F29" s="65" t="e">
        <f t="shared" si="2"/>
        <v>#DIV/0!</v>
      </c>
      <c r="G29" s="62" t="s">
        <v>106</v>
      </c>
    </row>
    <row r="30" spans="1:7" ht="22.9" customHeight="1" x14ac:dyDescent="0.2">
      <c r="A30" s="63" t="str">
        <f>A121</f>
        <v>Earnings Margin</v>
      </c>
      <c r="B30" s="71" t="e">
        <f t="shared" si="2"/>
        <v>#DIV/0!</v>
      </c>
      <c r="C30" s="71" t="e">
        <f t="shared" si="2"/>
        <v>#DIV/0!</v>
      </c>
      <c r="D30" s="71" t="e">
        <f t="shared" si="2"/>
        <v>#DIV/0!</v>
      </c>
      <c r="E30" s="71" t="e">
        <f t="shared" si="2"/>
        <v>#DIV/0!</v>
      </c>
      <c r="F30" s="71" t="e">
        <f t="shared" si="2"/>
        <v>#DIV/0!</v>
      </c>
      <c r="G30" s="62" t="s">
        <v>98</v>
      </c>
    </row>
    <row r="31" spans="1:7" ht="22.9" customHeight="1" x14ac:dyDescent="0.2">
      <c r="A31" s="63" t="s">
        <v>137</v>
      </c>
      <c r="B31" s="69">
        <f t="shared" si="2"/>
        <v>0</v>
      </c>
      <c r="C31" s="69">
        <f t="shared" si="2"/>
        <v>0</v>
      </c>
      <c r="D31" s="69">
        <f t="shared" si="2"/>
        <v>0</v>
      </c>
      <c r="E31" s="69">
        <f>E122</f>
        <v>0</v>
      </c>
      <c r="F31" s="69">
        <f>F122</f>
        <v>0</v>
      </c>
      <c r="G31" s="62" t="s">
        <v>138</v>
      </c>
    </row>
    <row r="32" spans="1:7" ht="22.9" customHeight="1" x14ac:dyDescent="0.2">
      <c r="A32" s="63" t="s">
        <v>109</v>
      </c>
      <c r="B32" s="72" t="e">
        <f>B123</f>
        <v>#DIV/0!</v>
      </c>
      <c r="C32" s="72" t="e">
        <f>C123</f>
        <v>#DIV/0!</v>
      </c>
      <c r="D32" s="72" t="e">
        <f>D123</f>
        <v>#DIV/0!</v>
      </c>
      <c r="E32" s="72" t="e">
        <f>E123</f>
        <v>#DIV/0!</v>
      </c>
      <c r="F32" s="72" t="e">
        <f>F123</f>
        <v>#DIV/0!</v>
      </c>
      <c r="G32" s="62" t="s">
        <v>111</v>
      </c>
    </row>
    <row r="33" spans="1:7" ht="22.9" customHeight="1" x14ac:dyDescent="0.2">
      <c r="A33" s="63" t="str">
        <f t="shared" ref="A33:F34" si="3">A124</f>
        <v>DC Facility Allowance Ratio</v>
      </c>
      <c r="B33" s="72" t="e">
        <f t="shared" si="3"/>
        <v>#DIV/0!</v>
      </c>
      <c r="C33" s="72" t="e">
        <f t="shared" si="3"/>
        <v>#DIV/0!</v>
      </c>
      <c r="D33" s="72" t="e">
        <f t="shared" si="3"/>
        <v>#DIV/0!</v>
      </c>
      <c r="E33" s="72" t="e">
        <f t="shared" si="3"/>
        <v>#DIV/0!</v>
      </c>
      <c r="F33" s="72" t="e">
        <f t="shared" si="3"/>
        <v>#DIV/0!</v>
      </c>
      <c r="G33" s="96" t="s">
        <v>130</v>
      </c>
    </row>
    <row r="34" spans="1:7" ht="22.9" customHeight="1" x14ac:dyDescent="0.2">
      <c r="A34" s="63" t="str">
        <f t="shared" si="3"/>
        <v>Occupancy Expense Ratio</v>
      </c>
      <c r="B34" s="71" t="e">
        <f t="shared" si="3"/>
        <v>#DIV/0!</v>
      </c>
      <c r="C34" s="71" t="e">
        <f t="shared" si="3"/>
        <v>#DIV/0!</v>
      </c>
      <c r="D34" s="71" t="e">
        <f t="shared" si="3"/>
        <v>#DIV/0!</v>
      </c>
      <c r="E34" s="71" t="e">
        <f t="shared" si="3"/>
        <v>#DIV/0!</v>
      </c>
      <c r="F34" s="71" t="e">
        <f t="shared" si="3"/>
        <v>#DIV/0!</v>
      </c>
      <c r="G34" s="96" t="s">
        <v>131</v>
      </c>
    </row>
    <row r="35" spans="1:7" ht="12" customHeight="1" x14ac:dyDescent="0.2">
      <c r="A35" s="52"/>
      <c r="B35" s="53"/>
      <c r="C35" s="53"/>
      <c r="D35" s="53"/>
      <c r="E35" s="53"/>
      <c r="F35" s="53"/>
      <c r="G35" s="60"/>
    </row>
    <row r="36" spans="1:7" ht="16.899999999999999" customHeight="1" x14ac:dyDescent="0.2">
      <c r="A36" s="50" t="s">
        <v>79</v>
      </c>
      <c r="B36" s="56" t="str">
        <f t="shared" ref="B36:E39" si="4">B194</f>
        <v xml:space="preserve"> </v>
      </c>
      <c r="C36" s="56" t="str">
        <f t="shared" si="4"/>
        <v xml:space="preserve"> </v>
      </c>
      <c r="D36" s="56" t="str">
        <f t="shared" si="4"/>
        <v xml:space="preserve"> </v>
      </c>
      <c r="E36" s="56" t="str">
        <f t="shared" si="4"/>
        <v xml:space="preserve"> </v>
      </c>
      <c r="F36" s="56"/>
      <c r="G36" s="60"/>
    </row>
    <row r="37" spans="1:7" ht="22.9" customHeight="1" x14ac:dyDescent="0.2">
      <c r="A37" s="63" t="str">
        <f>A195</f>
        <v>Current Debt Ratio</v>
      </c>
      <c r="B37" s="72" t="e">
        <f t="shared" si="4"/>
        <v>#DIV/0!</v>
      </c>
      <c r="C37" s="72" t="e">
        <f t="shared" si="4"/>
        <v>#DIV/0!</v>
      </c>
      <c r="D37" s="72" t="e">
        <f t="shared" si="4"/>
        <v>#DIV/0!</v>
      </c>
      <c r="E37" s="71" t="e">
        <f t="shared" si="4"/>
        <v>#DIV/0!</v>
      </c>
      <c r="F37" s="71" t="e">
        <f>F195</f>
        <v>#DIV/0!</v>
      </c>
      <c r="G37" s="62" t="s">
        <v>99</v>
      </c>
    </row>
    <row r="38" spans="1:7" ht="22.9" customHeight="1" x14ac:dyDescent="0.2">
      <c r="A38" s="63" t="str">
        <f>A196</f>
        <v>Debt Service Ratio</v>
      </c>
      <c r="B38" s="71" t="e">
        <f t="shared" si="4"/>
        <v>#DIV/0!</v>
      </c>
      <c r="C38" s="71" t="e">
        <f t="shared" si="4"/>
        <v>#DIV/0!</v>
      </c>
      <c r="D38" s="71" t="e">
        <f t="shared" si="4"/>
        <v>#DIV/0!</v>
      </c>
      <c r="E38" s="71" t="e">
        <f t="shared" si="4"/>
        <v>#DIV/0!</v>
      </c>
      <c r="F38" s="71" t="e">
        <f>F196</f>
        <v>#DIV/0!</v>
      </c>
      <c r="G38" s="62" t="s">
        <v>132</v>
      </c>
    </row>
    <row r="39" spans="1:7" ht="22.9" customHeight="1" x14ac:dyDescent="0.2">
      <c r="A39" s="63" t="str">
        <f>A197</f>
        <v>Debt Service Coverage Ratio</v>
      </c>
      <c r="B39" s="67" t="e">
        <f t="shared" si="4"/>
        <v>#DIV/0!</v>
      </c>
      <c r="C39" s="67" t="e">
        <f t="shared" si="4"/>
        <v>#DIV/0!</v>
      </c>
      <c r="D39" s="67" t="e">
        <f t="shared" si="4"/>
        <v>#DIV/0!</v>
      </c>
      <c r="E39" s="67" t="e">
        <f t="shared" si="4"/>
        <v>#DIV/0!</v>
      </c>
      <c r="F39" s="67" t="e">
        <f>F197</f>
        <v>#DIV/0!</v>
      </c>
      <c r="G39" s="62" t="s">
        <v>134</v>
      </c>
    </row>
    <row r="40" spans="1:7" ht="12" customHeight="1" x14ac:dyDescent="0.2">
      <c r="A40" s="73"/>
      <c r="B40" s="74"/>
      <c r="C40" s="74"/>
      <c r="D40" s="74"/>
      <c r="E40" s="74"/>
      <c r="F40" s="74"/>
      <c r="G40" s="75"/>
    </row>
    <row r="41" spans="1:7" ht="21" customHeight="1" x14ac:dyDescent="0.2">
      <c r="A41" s="190">
        <f>A1</f>
        <v>0</v>
      </c>
      <c r="B41" s="191"/>
      <c r="C41" s="191"/>
      <c r="D41" s="191"/>
      <c r="E41" s="191"/>
      <c r="F41" s="191"/>
    </row>
    <row r="42" spans="1:7" ht="21" customHeight="1" x14ac:dyDescent="0.2">
      <c r="A42" s="190" t="s">
        <v>64</v>
      </c>
      <c r="B42" s="191"/>
      <c r="C42" s="191"/>
      <c r="D42" s="191"/>
      <c r="E42" s="191"/>
      <c r="F42" s="191"/>
    </row>
    <row r="43" spans="1:7" ht="21" customHeight="1" x14ac:dyDescent="0.2">
      <c r="A43" s="190" t="s">
        <v>60</v>
      </c>
      <c r="B43" s="191"/>
      <c r="C43" s="191"/>
      <c r="D43" s="191"/>
      <c r="E43" s="191" t="s">
        <v>36</v>
      </c>
      <c r="F43" s="191"/>
    </row>
    <row r="44" spans="1:7" ht="21" customHeight="1" x14ac:dyDescent="0.2">
      <c r="A44" s="190" t="str">
        <f>A4</f>
        <v>June 30, 2010 and 2009</v>
      </c>
      <c r="B44" s="191"/>
      <c r="C44" s="191"/>
      <c r="D44" s="191"/>
      <c r="E44" s="191"/>
      <c r="F44" s="191"/>
    </row>
    <row r="45" spans="1:7" ht="21" customHeight="1" x14ac:dyDescent="0.2">
      <c r="A45" s="194"/>
      <c r="B45" s="195"/>
      <c r="C45" s="195"/>
      <c r="D45" s="195"/>
      <c r="E45" s="195"/>
      <c r="F45" s="195"/>
    </row>
    <row r="46" spans="1:7" ht="16.899999999999999" customHeight="1" x14ac:dyDescent="0.2">
      <c r="A46" s="4" t="s">
        <v>6</v>
      </c>
      <c r="B46" s="5">
        <v>2013</v>
      </c>
      <c r="C46" s="5">
        <v>2012</v>
      </c>
      <c r="D46" s="5">
        <v>2011</v>
      </c>
      <c r="E46" s="5">
        <v>2010</v>
      </c>
      <c r="F46" s="6">
        <v>2009</v>
      </c>
    </row>
    <row r="47" spans="1:7" ht="16.899999999999999" customHeight="1" x14ac:dyDescent="0.2">
      <c r="A47" s="7" t="s">
        <v>0</v>
      </c>
      <c r="B47" s="8"/>
      <c r="C47" s="8"/>
      <c r="D47" s="8"/>
      <c r="E47" s="8"/>
      <c r="F47" s="9"/>
    </row>
    <row r="48" spans="1:7" ht="16.899999999999999" customHeight="1" x14ac:dyDescent="0.2">
      <c r="A48" s="10" t="s">
        <v>1</v>
      </c>
      <c r="B48" s="78"/>
      <c r="C48" s="78"/>
      <c r="D48" s="78"/>
      <c r="E48" s="78"/>
      <c r="F48" s="79"/>
    </row>
    <row r="49" spans="1:6" ht="16.899999999999999" customHeight="1" x14ac:dyDescent="0.2">
      <c r="A49" s="10" t="s">
        <v>40</v>
      </c>
      <c r="B49" s="78"/>
      <c r="C49" s="78"/>
      <c r="D49" s="78"/>
      <c r="E49" s="78"/>
      <c r="F49" s="79"/>
    </row>
    <row r="50" spans="1:6" ht="16.899999999999999" customHeight="1" x14ac:dyDescent="0.2">
      <c r="A50" s="10" t="s">
        <v>2</v>
      </c>
      <c r="B50" s="13">
        <f>B51-B49-B48</f>
        <v>0</v>
      </c>
      <c r="C50" s="13">
        <f>C51-C49-C48</f>
        <v>0</v>
      </c>
      <c r="D50" s="13">
        <f>D51-D49-D48</f>
        <v>0</v>
      </c>
      <c r="E50" s="13">
        <f>E51-E49-E48</f>
        <v>0</v>
      </c>
      <c r="F50" s="14">
        <f>F51-F49-F48</f>
        <v>0</v>
      </c>
    </row>
    <row r="51" spans="1:6" ht="16.899999999999999" customHeight="1" x14ac:dyDescent="0.2">
      <c r="A51" s="15" t="s">
        <v>3</v>
      </c>
      <c r="B51" s="78"/>
      <c r="C51" s="78"/>
      <c r="D51" s="78"/>
      <c r="E51" s="78"/>
      <c r="F51" s="79"/>
    </row>
    <row r="52" spans="1:6" ht="16.899999999999999" customHeight="1" x14ac:dyDescent="0.2">
      <c r="A52" s="10" t="s">
        <v>4</v>
      </c>
      <c r="B52" s="78"/>
      <c r="C52" s="78"/>
      <c r="D52" s="78"/>
      <c r="E52" s="78"/>
      <c r="F52" s="79"/>
    </row>
    <row r="53" spans="1:6" ht="16.899999999999999" customHeight="1" x14ac:dyDescent="0.2">
      <c r="A53" s="10" t="s">
        <v>7</v>
      </c>
      <c r="B53" s="13">
        <f>B54-B52-B51</f>
        <v>0</v>
      </c>
      <c r="C53" s="13">
        <f>C54-C52-C51</f>
        <v>0</v>
      </c>
      <c r="D53" s="13">
        <f>D54-D52-D51</f>
        <v>0</v>
      </c>
      <c r="E53" s="13">
        <f>E54-E52-E51</f>
        <v>0</v>
      </c>
      <c r="F53" s="14">
        <f>F54-F52-F51</f>
        <v>0</v>
      </c>
    </row>
    <row r="54" spans="1:6" ht="16.899999999999999" customHeight="1" x14ac:dyDescent="0.2">
      <c r="A54" s="15" t="s">
        <v>5</v>
      </c>
      <c r="B54" s="80"/>
      <c r="C54" s="80"/>
      <c r="D54" s="80"/>
      <c r="E54" s="80"/>
      <c r="F54" s="81"/>
    </row>
    <row r="55" spans="1:6" ht="16.899999999999999" customHeight="1" x14ac:dyDescent="0.2">
      <c r="A55" s="15"/>
      <c r="B55" s="13"/>
      <c r="C55" s="13"/>
      <c r="D55" s="13"/>
      <c r="E55" s="13"/>
      <c r="F55" s="14"/>
    </row>
    <row r="56" spans="1:6" ht="16.899999999999999" customHeight="1" x14ac:dyDescent="0.2">
      <c r="A56" s="7" t="s">
        <v>8</v>
      </c>
      <c r="B56" s="11"/>
      <c r="C56" s="11"/>
      <c r="D56" s="11"/>
      <c r="E56" s="11"/>
      <c r="F56" s="12"/>
    </row>
    <row r="57" spans="1:6" ht="16.899999999999999" customHeight="1" x14ac:dyDescent="0.2">
      <c r="A57" s="10" t="s">
        <v>41</v>
      </c>
      <c r="B57" s="78"/>
      <c r="C57" s="78"/>
      <c r="D57" s="78"/>
      <c r="E57" s="78"/>
      <c r="F57" s="79"/>
    </row>
    <row r="58" spans="1:6" ht="16.899999999999999" customHeight="1" x14ac:dyDescent="0.2">
      <c r="A58" s="10" t="s">
        <v>9</v>
      </c>
      <c r="B58" s="78"/>
      <c r="C58" s="78"/>
      <c r="D58" s="78"/>
      <c r="E58" s="78"/>
      <c r="F58" s="79"/>
    </row>
    <row r="59" spans="1:6" ht="16.899999999999999" customHeight="1" x14ac:dyDescent="0.2">
      <c r="A59" s="10" t="s">
        <v>11</v>
      </c>
      <c r="B59" s="78"/>
      <c r="C59" s="78"/>
      <c r="D59" s="78"/>
      <c r="E59" s="78"/>
      <c r="F59" s="79"/>
    </row>
    <row r="60" spans="1:6" ht="16.899999999999999" customHeight="1" x14ac:dyDescent="0.2">
      <c r="A60" s="10" t="s">
        <v>150</v>
      </c>
      <c r="B60" s="78"/>
      <c r="C60" s="78"/>
      <c r="D60" s="78"/>
      <c r="E60" s="78"/>
      <c r="F60" s="79"/>
    </row>
    <row r="61" spans="1:6" ht="16.899999999999999" customHeight="1" x14ac:dyDescent="0.2">
      <c r="A61" s="10" t="s">
        <v>42</v>
      </c>
      <c r="B61" s="13">
        <f>B62-B59-B58-B57</f>
        <v>0</v>
      </c>
      <c r="C61" s="13">
        <f>C62-C59-C58-C57</f>
        <v>0</v>
      </c>
      <c r="D61" s="13">
        <f>D62-D59-D58-D57</f>
        <v>0</v>
      </c>
      <c r="E61" s="13">
        <f>E62-E59-E58-E57</f>
        <v>0</v>
      </c>
      <c r="F61" s="14">
        <f>F62-F59-F58-F57</f>
        <v>0</v>
      </c>
    </row>
    <row r="62" spans="1:6" ht="16.899999999999999" customHeight="1" x14ac:dyDescent="0.2">
      <c r="A62" s="15" t="s">
        <v>10</v>
      </c>
      <c r="B62" s="78"/>
      <c r="C62" s="78"/>
      <c r="D62" s="78"/>
      <c r="E62" s="78"/>
      <c r="F62" s="79"/>
    </row>
    <row r="63" spans="1:6" ht="16.899999999999999" customHeight="1" x14ac:dyDescent="0.2">
      <c r="A63" s="10" t="s">
        <v>43</v>
      </c>
      <c r="B63" s="78"/>
      <c r="C63" s="78"/>
      <c r="D63" s="78"/>
      <c r="E63" s="78"/>
      <c r="F63" s="79"/>
    </row>
    <row r="64" spans="1:6" ht="16.899999999999999" customHeight="1" x14ac:dyDescent="0.2">
      <c r="A64" s="10" t="s">
        <v>12</v>
      </c>
      <c r="B64" s="13">
        <f>B65-B63-B62</f>
        <v>0</v>
      </c>
      <c r="C64" s="13">
        <f>C65-C63-C62</f>
        <v>0</v>
      </c>
      <c r="D64" s="13">
        <f>D65-D63-D62</f>
        <v>0</v>
      </c>
      <c r="E64" s="13">
        <f>E65-E63-E62</f>
        <v>0</v>
      </c>
      <c r="F64" s="14">
        <f>F65-F63-F62</f>
        <v>0</v>
      </c>
    </row>
    <row r="65" spans="1:6" ht="16.899999999999999" customHeight="1" x14ac:dyDescent="0.2">
      <c r="A65" s="15" t="s">
        <v>13</v>
      </c>
      <c r="B65" s="13">
        <f>B72-B71</f>
        <v>0</v>
      </c>
      <c r="C65" s="13">
        <f>C72-C71</f>
        <v>0</v>
      </c>
      <c r="D65" s="13">
        <f>D72-D71</f>
        <v>0</v>
      </c>
      <c r="E65" s="13">
        <f>E72-E71</f>
        <v>0</v>
      </c>
      <c r="F65" s="14">
        <f>F72-F71</f>
        <v>0</v>
      </c>
    </row>
    <row r="66" spans="1:6" ht="16.899999999999999" customHeight="1" x14ac:dyDescent="0.2">
      <c r="A66" s="15"/>
      <c r="B66" s="13"/>
      <c r="C66" s="13"/>
      <c r="D66" s="13"/>
      <c r="E66" s="13"/>
      <c r="F66" s="14"/>
    </row>
    <row r="67" spans="1:6" ht="16.899999999999999" customHeight="1" x14ac:dyDescent="0.2">
      <c r="A67" s="7" t="s">
        <v>14</v>
      </c>
      <c r="B67" s="11" t="s">
        <v>6</v>
      </c>
      <c r="C67" s="11"/>
      <c r="D67" s="11"/>
      <c r="E67" s="11"/>
      <c r="F67" s="12"/>
    </row>
    <row r="68" spans="1:6" ht="16.899999999999999" customHeight="1" x14ac:dyDescent="0.2">
      <c r="A68" s="16" t="s">
        <v>15</v>
      </c>
      <c r="B68" s="78"/>
      <c r="C68" s="78"/>
      <c r="D68" s="78"/>
      <c r="E68" s="78"/>
      <c r="F68" s="79"/>
    </row>
    <row r="69" spans="1:6" ht="16.899999999999999" customHeight="1" x14ac:dyDescent="0.2">
      <c r="A69" s="10" t="s">
        <v>16</v>
      </c>
      <c r="B69" s="78"/>
      <c r="C69" s="78"/>
      <c r="D69" s="78"/>
      <c r="E69" s="78"/>
      <c r="F69" s="79"/>
    </row>
    <row r="70" spans="1:6" ht="16.899999999999999" customHeight="1" x14ac:dyDescent="0.2">
      <c r="A70" s="10" t="s">
        <v>17</v>
      </c>
      <c r="B70" s="80"/>
      <c r="C70" s="80"/>
      <c r="D70" s="80"/>
      <c r="E70" s="80"/>
      <c r="F70" s="81"/>
    </row>
    <row r="71" spans="1:6" ht="16.899999999999999" customHeight="1" x14ac:dyDescent="0.2">
      <c r="A71" s="15" t="s">
        <v>18</v>
      </c>
      <c r="B71" s="80"/>
      <c r="C71" s="80"/>
      <c r="D71" s="80"/>
      <c r="E71" s="80"/>
      <c r="F71" s="81"/>
    </row>
    <row r="72" spans="1:6" ht="16.899999999999999" customHeight="1" x14ac:dyDescent="0.2">
      <c r="A72" s="15" t="s">
        <v>19</v>
      </c>
      <c r="B72" s="80"/>
      <c r="C72" s="80"/>
      <c r="D72" s="80"/>
      <c r="E72" s="80"/>
      <c r="F72" s="81"/>
    </row>
    <row r="73" spans="1:6" ht="16.899999999999999" customHeight="1" x14ac:dyDescent="0.2">
      <c r="A73" s="17"/>
      <c r="B73" s="18"/>
      <c r="C73" s="18"/>
      <c r="D73" s="18"/>
      <c r="E73" s="18"/>
      <c r="F73" s="19"/>
    </row>
    <row r="75" spans="1:6" ht="16.899999999999999" customHeight="1" x14ac:dyDescent="0.2">
      <c r="A75" s="20" t="s">
        <v>61</v>
      </c>
      <c r="B75" s="21" t="s">
        <v>6</v>
      </c>
      <c r="C75" s="22" t="s">
        <v>6</v>
      </c>
      <c r="D75" s="22" t="s">
        <v>6</v>
      </c>
      <c r="E75" s="22" t="s">
        <v>6</v>
      </c>
      <c r="F75" s="23"/>
    </row>
    <row r="76" spans="1:6" ht="16.899999999999999" customHeight="1" x14ac:dyDescent="0.2">
      <c r="A76" s="23" t="s">
        <v>55</v>
      </c>
      <c r="B76" s="25" t="e">
        <f>B51/B62</f>
        <v>#DIV/0!</v>
      </c>
      <c r="C76" s="25" t="e">
        <f>C51/C62</f>
        <v>#DIV/0!</v>
      </c>
      <c r="D76" s="25" t="e">
        <f>D51/D62</f>
        <v>#DIV/0!</v>
      </c>
      <c r="E76" s="26" t="e">
        <f>E51/E62</f>
        <v>#DIV/0!</v>
      </c>
      <c r="F76" s="26" t="e">
        <f>F51/F62</f>
        <v>#DIV/0!</v>
      </c>
    </row>
    <row r="77" spans="1:6" ht="16.899999999999999" customHeight="1" x14ac:dyDescent="0.2">
      <c r="A77" s="23" t="s">
        <v>56</v>
      </c>
      <c r="B77" s="26" t="e">
        <f>B48/(B103/12)</f>
        <v>#DIV/0!</v>
      </c>
      <c r="C77" s="26" t="e">
        <f>C48/(C103/12)</f>
        <v>#DIV/0!</v>
      </c>
      <c r="D77" s="26" t="e">
        <f>D48/(D103/12)</f>
        <v>#DIV/0!</v>
      </c>
      <c r="E77" s="26" t="e">
        <f>E48/(E103/12)</f>
        <v>#DIV/0!</v>
      </c>
      <c r="F77" s="26" t="e">
        <f>F48/(F103/12)</f>
        <v>#DIV/0!</v>
      </c>
    </row>
    <row r="78" spans="1:6" ht="16.899999999999999" customHeight="1" x14ac:dyDescent="0.2">
      <c r="A78" s="23" t="s">
        <v>140</v>
      </c>
      <c r="B78" s="34" t="e">
        <f>B65/B54</f>
        <v>#DIV/0!</v>
      </c>
      <c r="C78" s="34" t="e">
        <f>C65/C54</f>
        <v>#DIV/0!</v>
      </c>
      <c r="D78" s="34" t="e">
        <f>D65/D54</f>
        <v>#DIV/0!</v>
      </c>
      <c r="E78" s="34" t="e">
        <f>E65/E54</f>
        <v>#DIV/0!</v>
      </c>
      <c r="F78" s="34" t="e">
        <f>F65/F54</f>
        <v>#DIV/0!</v>
      </c>
    </row>
    <row r="79" spans="1:6" ht="16.899999999999999" customHeight="1" x14ac:dyDescent="0.2">
      <c r="A79" s="23" t="s">
        <v>101</v>
      </c>
      <c r="B79" s="34" t="e">
        <f>B65/B71</f>
        <v>#DIV/0!</v>
      </c>
      <c r="C79" s="34" t="e">
        <f>C65/C71</f>
        <v>#DIV/0!</v>
      </c>
      <c r="D79" s="34" t="e">
        <f>D65/D71</f>
        <v>#DIV/0!</v>
      </c>
      <c r="E79" s="34" t="e">
        <f>E65/E71</f>
        <v>#DIV/0!</v>
      </c>
      <c r="F79" s="34" t="e">
        <f>F65/F71</f>
        <v>#DIV/0!</v>
      </c>
    </row>
    <row r="80" spans="1:6" ht="16.899999999999999" customHeight="1" x14ac:dyDescent="0.2">
      <c r="A80" s="23" t="s">
        <v>142</v>
      </c>
      <c r="B80" s="34" t="e">
        <f>B71/B54</f>
        <v>#DIV/0!</v>
      </c>
      <c r="C80" s="34" t="e">
        <f>C71/C54</f>
        <v>#DIV/0!</v>
      </c>
      <c r="D80" s="34" t="e">
        <f>D71/D54</f>
        <v>#DIV/0!</v>
      </c>
      <c r="E80" s="34" t="e">
        <f>E71/E54</f>
        <v>#DIV/0!</v>
      </c>
      <c r="F80" s="34" t="e">
        <f>F71/F54</f>
        <v>#DIV/0!</v>
      </c>
    </row>
    <row r="81" spans="1:6" ht="16.899999999999999" customHeight="1" x14ac:dyDescent="0.2">
      <c r="A81" s="23" t="s">
        <v>102</v>
      </c>
      <c r="B81" s="27">
        <f>B54-B65</f>
        <v>0</v>
      </c>
      <c r="C81" s="27">
        <f>C54-C65</f>
        <v>0</v>
      </c>
      <c r="D81" s="27">
        <f>D54-D65</f>
        <v>0</v>
      </c>
      <c r="E81" s="27">
        <f>E54-E65</f>
        <v>0</v>
      </c>
      <c r="F81" s="27">
        <f>F54-F65</f>
        <v>0</v>
      </c>
    </row>
    <row r="82" spans="1:6" ht="16.899999999999999" customHeight="1" x14ac:dyDescent="0.2">
      <c r="A82" s="23" t="s">
        <v>110</v>
      </c>
      <c r="B82" s="33" t="e">
        <f>B52/B54</f>
        <v>#DIV/0!</v>
      </c>
      <c r="C82" s="33" t="e">
        <f>C52/C54</f>
        <v>#DIV/0!</v>
      </c>
      <c r="D82" s="33" t="e">
        <f>D52/D54</f>
        <v>#DIV/0!</v>
      </c>
      <c r="E82" s="33" t="e">
        <f>E52/E54</f>
        <v>#DIV/0!</v>
      </c>
      <c r="F82" s="33" t="e">
        <f>F52/F54</f>
        <v>#DIV/0!</v>
      </c>
    </row>
    <row r="83" spans="1:6" ht="16.899999999999999" customHeight="1" x14ac:dyDescent="0.2">
      <c r="A83" s="23" t="s">
        <v>89</v>
      </c>
      <c r="B83" s="22">
        <f>B68+B69-B52+B187</f>
        <v>0</v>
      </c>
      <c r="C83" s="22">
        <f>C68+C69-C52+C187</f>
        <v>0</v>
      </c>
      <c r="D83" s="22">
        <f>D68+D69-D52+D187</f>
        <v>0</v>
      </c>
      <c r="E83" s="22">
        <f>E68+E69-E52+E187</f>
        <v>0</v>
      </c>
      <c r="F83" s="22">
        <f>F68+F69-F52+F187</f>
        <v>0</v>
      </c>
    </row>
    <row r="84" spans="1:6" ht="16.899999999999999" customHeight="1" x14ac:dyDescent="0.2">
      <c r="A84" s="23" t="s">
        <v>107</v>
      </c>
      <c r="B84" s="91" t="e">
        <f>B83/B103</f>
        <v>#DIV/0!</v>
      </c>
      <c r="C84" s="91" t="e">
        <f>C83/C103</f>
        <v>#DIV/0!</v>
      </c>
      <c r="D84" s="91" t="e">
        <f>D83/D103</f>
        <v>#DIV/0!</v>
      </c>
      <c r="E84" s="91" t="e">
        <f>E83/E103</f>
        <v>#DIV/0!</v>
      </c>
      <c r="F84" s="91" t="e">
        <f>F83/F103</f>
        <v>#DIV/0!</v>
      </c>
    </row>
    <row r="85" spans="1:6" ht="16.899999999999999" customHeight="1" x14ac:dyDescent="0.2">
      <c r="B85" s="2"/>
      <c r="C85" s="2"/>
      <c r="D85" s="2"/>
      <c r="E85" s="2"/>
      <c r="F85" s="2"/>
    </row>
    <row r="86" spans="1:6" ht="21" customHeight="1" x14ac:dyDescent="0.2">
      <c r="A86" s="190">
        <f>A1</f>
        <v>0</v>
      </c>
      <c r="B86" s="191"/>
      <c r="C86" s="191"/>
      <c r="D86" s="191"/>
      <c r="E86" s="191"/>
      <c r="F86" s="191"/>
    </row>
    <row r="87" spans="1:6" ht="21" customHeight="1" x14ac:dyDescent="0.2">
      <c r="A87" s="190" t="s">
        <v>65</v>
      </c>
      <c r="B87" s="191"/>
      <c r="C87" s="191"/>
      <c r="D87" s="191"/>
      <c r="E87" s="191"/>
      <c r="F87" s="191"/>
    </row>
    <row r="88" spans="1:6" ht="21" customHeight="1" x14ac:dyDescent="0.2">
      <c r="A88" s="190" t="s">
        <v>62</v>
      </c>
      <c r="B88" s="191"/>
      <c r="C88" s="191"/>
      <c r="D88" s="191"/>
      <c r="E88" s="191" t="s">
        <v>36</v>
      </c>
      <c r="F88" s="191"/>
    </row>
    <row r="89" spans="1:6" ht="21" customHeight="1" x14ac:dyDescent="0.2">
      <c r="A89" s="190" t="str">
        <f>A4</f>
        <v>June 30, 2010 and 2009</v>
      </c>
      <c r="B89" s="191"/>
      <c r="C89" s="191"/>
      <c r="D89" s="191"/>
      <c r="E89" s="191"/>
      <c r="F89" s="191"/>
    </row>
    <row r="90" spans="1:6" ht="21" customHeight="1" x14ac:dyDescent="0.2">
      <c r="A90" s="194"/>
      <c r="B90" s="195"/>
      <c r="C90" s="195"/>
      <c r="D90" s="195"/>
      <c r="E90" s="195"/>
      <c r="F90" s="195"/>
    </row>
    <row r="91" spans="1:6" ht="16.899999999999999" customHeight="1" x14ac:dyDescent="0.2">
      <c r="A91" s="4" t="s">
        <v>6</v>
      </c>
      <c r="B91" s="5">
        <v>2013</v>
      </c>
      <c r="C91" s="5">
        <v>2012</v>
      </c>
      <c r="D91" s="5">
        <v>2011</v>
      </c>
      <c r="E91" s="5">
        <v>2010</v>
      </c>
      <c r="F91" s="6">
        <v>2009</v>
      </c>
    </row>
    <row r="92" spans="1:6" ht="16.899999999999999" customHeight="1" x14ac:dyDescent="0.2">
      <c r="A92" s="7" t="s">
        <v>73</v>
      </c>
      <c r="B92" s="11"/>
      <c r="C92" s="11"/>
      <c r="D92" s="11"/>
      <c r="E92" s="11"/>
      <c r="F92" s="12"/>
    </row>
    <row r="93" spans="1:6" ht="16.899999999999999" customHeight="1" x14ac:dyDescent="0.2">
      <c r="A93" s="10" t="s">
        <v>44</v>
      </c>
      <c r="B93" s="78"/>
      <c r="C93" s="78"/>
      <c r="D93" s="78"/>
      <c r="E93" s="78"/>
      <c r="F93" s="79"/>
    </row>
    <row r="94" spans="1:6" ht="16.899999999999999" customHeight="1" x14ac:dyDescent="0.2">
      <c r="A94" s="10" t="s">
        <v>46</v>
      </c>
      <c r="B94" s="78"/>
      <c r="C94" s="78"/>
      <c r="D94" s="78"/>
      <c r="E94" s="78"/>
      <c r="F94" s="79"/>
    </row>
    <row r="95" spans="1:6" ht="16.899999999999999" customHeight="1" x14ac:dyDescent="0.2">
      <c r="A95" s="10" t="s">
        <v>45</v>
      </c>
      <c r="B95" s="78"/>
      <c r="C95" s="78"/>
      <c r="D95" s="78"/>
      <c r="E95" s="78"/>
      <c r="F95" s="79"/>
    </row>
    <row r="96" spans="1:6" ht="16.899999999999999" customHeight="1" x14ac:dyDescent="0.2">
      <c r="A96" s="10" t="s">
        <v>20</v>
      </c>
      <c r="B96" s="13">
        <f>B97-B95-B94-B93</f>
        <v>0</v>
      </c>
      <c r="C96" s="13">
        <f>C97-C95-C94-C93</f>
        <v>0</v>
      </c>
      <c r="D96" s="13">
        <f>D97-D95-D94-D93</f>
        <v>0</v>
      </c>
      <c r="E96" s="13">
        <f>E97-E95-E94-E93</f>
        <v>0</v>
      </c>
      <c r="F96" s="14">
        <f>F97-F95-F94-F93</f>
        <v>0</v>
      </c>
    </row>
    <row r="97" spans="1:6" ht="16.899999999999999" customHeight="1" x14ac:dyDescent="0.2">
      <c r="A97" s="15" t="s">
        <v>21</v>
      </c>
      <c r="B97" s="80"/>
      <c r="C97" s="80"/>
      <c r="D97" s="80"/>
      <c r="E97" s="80"/>
      <c r="F97" s="81"/>
    </row>
    <row r="98" spans="1:6" ht="16.899999999999999" customHeight="1" x14ac:dyDescent="0.2">
      <c r="A98" s="10"/>
      <c r="B98" s="11"/>
      <c r="C98" s="11"/>
      <c r="D98" s="11"/>
      <c r="E98" s="11"/>
      <c r="F98" s="12"/>
    </row>
    <row r="99" spans="1:6" ht="16.899999999999999" customHeight="1" x14ac:dyDescent="0.2">
      <c r="A99" s="7" t="s">
        <v>74</v>
      </c>
      <c r="B99" s="11"/>
      <c r="C99" s="11"/>
      <c r="D99" s="11"/>
      <c r="E99" s="11"/>
      <c r="F99" s="12"/>
    </row>
    <row r="100" spans="1:6" ht="16.899999999999999" customHeight="1" x14ac:dyDescent="0.2">
      <c r="A100" s="10" t="s">
        <v>22</v>
      </c>
      <c r="B100" s="78"/>
      <c r="C100" s="78"/>
      <c r="D100" s="78"/>
      <c r="E100" s="78"/>
      <c r="F100" s="79"/>
    </row>
    <row r="101" spans="1:6" ht="16.899999999999999" customHeight="1" x14ac:dyDescent="0.2">
      <c r="A101" s="10" t="s">
        <v>47</v>
      </c>
      <c r="B101" s="78"/>
      <c r="C101" s="78"/>
      <c r="D101" s="78"/>
      <c r="E101" s="78"/>
      <c r="F101" s="79"/>
    </row>
    <row r="102" spans="1:6" ht="16.899999999999999" customHeight="1" x14ac:dyDescent="0.2">
      <c r="A102" s="10" t="s">
        <v>23</v>
      </c>
      <c r="B102" s="80"/>
      <c r="C102" s="80"/>
      <c r="D102" s="80"/>
      <c r="E102" s="80"/>
      <c r="F102" s="81"/>
    </row>
    <row r="103" spans="1:6" ht="16.899999999999999" customHeight="1" x14ac:dyDescent="0.2">
      <c r="A103" s="15" t="s">
        <v>24</v>
      </c>
      <c r="B103" s="13">
        <f>SUM(B100:B102)</f>
        <v>0</v>
      </c>
      <c r="C103" s="13">
        <f>SUM(C100:C102)</f>
        <v>0</v>
      </c>
      <c r="D103" s="13">
        <f>SUM(D100:D102)</f>
        <v>0</v>
      </c>
      <c r="E103" s="13">
        <f>SUM(E100:E102)</f>
        <v>0</v>
      </c>
      <c r="F103" s="14">
        <f>SUM(F100:F102)</f>
        <v>0</v>
      </c>
    </row>
    <row r="104" spans="1:6" ht="16.899999999999999" customHeight="1" x14ac:dyDescent="0.2">
      <c r="A104" s="15"/>
      <c r="B104" s="13"/>
      <c r="C104" s="13"/>
      <c r="D104" s="13"/>
      <c r="E104" s="13"/>
      <c r="F104" s="14"/>
    </row>
    <row r="105" spans="1:6" ht="16.899999999999999" customHeight="1" x14ac:dyDescent="0.2">
      <c r="A105" s="32" t="s">
        <v>91</v>
      </c>
      <c r="B105" s="13"/>
      <c r="C105" s="13"/>
      <c r="D105" s="13"/>
      <c r="E105" s="13"/>
      <c r="F105" s="14"/>
    </row>
    <row r="106" spans="1:6" ht="16.899999999999999" customHeight="1" x14ac:dyDescent="0.2">
      <c r="A106" s="10" t="s">
        <v>135</v>
      </c>
      <c r="B106" s="78"/>
      <c r="C106" s="78"/>
      <c r="D106" s="78"/>
      <c r="E106" s="78"/>
      <c r="F106" s="79"/>
    </row>
    <row r="107" spans="1:6" ht="16.899999999999999" customHeight="1" x14ac:dyDescent="0.2">
      <c r="A107" s="10" t="s">
        <v>133</v>
      </c>
      <c r="B107" s="78"/>
      <c r="C107" s="78"/>
      <c r="D107" s="78"/>
      <c r="E107" s="78"/>
      <c r="F107" s="79"/>
    </row>
    <row r="108" spans="1:6" ht="16.899999999999999" customHeight="1" x14ac:dyDescent="0.2">
      <c r="A108" s="10" t="s">
        <v>52</v>
      </c>
      <c r="B108" s="78"/>
      <c r="C108" s="78"/>
      <c r="D108" s="78"/>
      <c r="E108" s="78"/>
      <c r="F108" s="79"/>
    </row>
    <row r="109" spans="1:6" ht="16.899999999999999" customHeight="1" x14ac:dyDescent="0.2">
      <c r="A109" s="10" t="s">
        <v>28</v>
      </c>
      <c r="B109" s="13">
        <f>B110-B108-B107-B106</f>
        <v>0</v>
      </c>
      <c r="C109" s="13">
        <f>C110-C108-C107-C106</f>
        <v>0</v>
      </c>
      <c r="D109" s="13">
        <f>D110-D108-D107-D106</f>
        <v>0</v>
      </c>
      <c r="E109" s="13">
        <f>E110-E108-E107-E106</f>
        <v>0</v>
      </c>
      <c r="F109" s="14">
        <f>F110-F108-F107-F106</f>
        <v>0</v>
      </c>
    </row>
    <row r="110" spans="1:6" ht="16.899999999999999" customHeight="1" x14ac:dyDescent="0.2">
      <c r="A110" s="35" t="s">
        <v>37</v>
      </c>
      <c r="B110" s="80"/>
      <c r="C110" s="80"/>
      <c r="D110" s="80"/>
      <c r="E110" s="80"/>
      <c r="F110" s="81"/>
    </row>
    <row r="111" spans="1:6" ht="16.899999999999999" customHeight="1" x14ac:dyDescent="0.2">
      <c r="A111" s="29"/>
      <c r="B111" s="13"/>
      <c r="C111" s="13"/>
      <c r="D111" s="13"/>
      <c r="E111" s="13"/>
      <c r="F111" s="14"/>
    </row>
    <row r="112" spans="1:6" ht="16.899999999999999" customHeight="1" x14ac:dyDescent="0.2">
      <c r="A112" s="32" t="s">
        <v>75</v>
      </c>
      <c r="B112" s="13"/>
      <c r="C112" s="13"/>
      <c r="D112" s="13"/>
      <c r="E112" s="13"/>
      <c r="F112" s="14"/>
    </row>
    <row r="113" spans="1:6" ht="16.899999999999999" customHeight="1" x14ac:dyDescent="0.2">
      <c r="A113" s="10" t="s">
        <v>90</v>
      </c>
      <c r="B113" s="78"/>
      <c r="C113" s="78"/>
      <c r="D113" s="78"/>
      <c r="E113" s="78"/>
      <c r="F113" s="79"/>
    </row>
    <row r="114" spans="1:6" ht="16.899999999999999" customHeight="1" x14ac:dyDescent="0.2">
      <c r="A114" s="10" t="s">
        <v>26</v>
      </c>
      <c r="B114" s="13">
        <f>B115-B113</f>
        <v>0</v>
      </c>
      <c r="C114" s="13">
        <f>C115-C113</f>
        <v>0</v>
      </c>
      <c r="D114" s="13">
        <f>D115-D113</f>
        <v>0</v>
      </c>
      <c r="E114" s="13">
        <f>E115-E113</f>
        <v>0</v>
      </c>
      <c r="F114" s="14">
        <f>F115-F113</f>
        <v>0</v>
      </c>
    </row>
    <row r="115" spans="1:6" ht="16.899999999999999" customHeight="1" x14ac:dyDescent="0.2">
      <c r="A115" s="15" t="s">
        <v>25</v>
      </c>
      <c r="B115" s="80"/>
      <c r="C115" s="80"/>
      <c r="D115" s="80"/>
      <c r="E115" s="80"/>
      <c r="F115" s="81"/>
    </row>
    <row r="116" spans="1:6" ht="16.899999999999999" customHeight="1" x14ac:dyDescent="0.2">
      <c r="A116" s="30"/>
      <c r="B116" s="18"/>
      <c r="C116" s="18"/>
      <c r="D116" s="18"/>
      <c r="E116" s="18"/>
      <c r="F116" s="19"/>
    </row>
    <row r="118" spans="1:6" ht="16.899999999999999" customHeight="1" x14ac:dyDescent="0.2">
      <c r="A118" s="98" t="s">
        <v>61</v>
      </c>
      <c r="B118" s="22" t="s">
        <v>6</v>
      </c>
      <c r="C118" s="22" t="s">
        <v>6</v>
      </c>
      <c r="D118" s="22" t="s">
        <v>6</v>
      </c>
      <c r="E118" s="22" t="s">
        <v>6</v>
      </c>
      <c r="F118" s="22"/>
    </row>
    <row r="119" spans="1:6" ht="16.899999999999999" customHeight="1" x14ac:dyDescent="0.2">
      <c r="A119" s="87" t="s">
        <v>103</v>
      </c>
      <c r="B119" s="85" t="e">
        <f>B97/B9</f>
        <v>#DIV/0!</v>
      </c>
      <c r="C119" s="86" t="e">
        <f>C97/C9</f>
        <v>#DIV/0!</v>
      </c>
      <c r="D119" s="86" t="e">
        <f>D97/D9</f>
        <v>#DIV/0!</v>
      </c>
      <c r="E119" s="86" t="e">
        <f>E97/E9</f>
        <v>#DIV/0!</v>
      </c>
      <c r="F119" s="86" t="e">
        <f>F97/F9</f>
        <v>#DIV/0!</v>
      </c>
    </row>
    <row r="120" spans="1:6" ht="16.899999999999999" customHeight="1" x14ac:dyDescent="0.2">
      <c r="A120" s="87" t="s">
        <v>104</v>
      </c>
      <c r="B120" s="85" t="e">
        <f>B110/B9</f>
        <v>#DIV/0!</v>
      </c>
      <c r="C120" s="86" t="e">
        <f>C110/C9</f>
        <v>#DIV/0!</v>
      </c>
      <c r="D120" s="86" t="e">
        <f>D110/D9</f>
        <v>#DIV/0!</v>
      </c>
      <c r="E120" s="86" t="e">
        <f>E110/E9</f>
        <v>#DIV/0!</v>
      </c>
      <c r="F120" s="86" t="e">
        <f>F110/F9</f>
        <v>#DIV/0!</v>
      </c>
    </row>
    <row r="121" spans="1:6" ht="16.899999999999999" customHeight="1" x14ac:dyDescent="0.2">
      <c r="A121" s="99" t="s">
        <v>57</v>
      </c>
      <c r="B121" s="24" t="e">
        <f>B115/B97</f>
        <v>#DIV/0!</v>
      </c>
      <c r="C121" s="24" t="e">
        <f>C115/C97</f>
        <v>#DIV/0!</v>
      </c>
      <c r="D121" s="24" t="e">
        <f>D115/D97</f>
        <v>#DIV/0!</v>
      </c>
      <c r="E121" s="93" t="e">
        <f>E115/E97</f>
        <v>#DIV/0!</v>
      </c>
      <c r="F121" s="93" t="e">
        <f>F115/F97</f>
        <v>#DIV/0!</v>
      </c>
    </row>
    <row r="122" spans="1:6" ht="16.899999999999999" customHeight="1" x14ac:dyDescent="0.2">
      <c r="A122" s="99" t="s">
        <v>139</v>
      </c>
      <c r="B122" s="100">
        <f>B115+B162+B60</f>
        <v>0</v>
      </c>
      <c r="C122" s="100">
        <f>C115+C162+C60</f>
        <v>0</v>
      </c>
      <c r="D122" s="100">
        <f>D115+D162+D60</f>
        <v>0</v>
      </c>
      <c r="E122" s="100">
        <f>E115+E162+E60</f>
        <v>0</v>
      </c>
      <c r="F122" s="100">
        <f>F115+F162+F60</f>
        <v>0</v>
      </c>
    </row>
    <row r="123" spans="1:6" ht="16.899999999999999" customHeight="1" x14ac:dyDescent="0.2">
      <c r="A123" s="87" t="s">
        <v>109</v>
      </c>
      <c r="B123" s="92" t="e">
        <f>B93/B110</f>
        <v>#DIV/0!</v>
      </c>
      <c r="C123" s="92" t="e">
        <f>C93/C110</f>
        <v>#DIV/0!</v>
      </c>
      <c r="D123" s="92" t="e">
        <f>D93/D110</f>
        <v>#DIV/0!</v>
      </c>
      <c r="E123" s="92" t="e">
        <f>E93/E110</f>
        <v>#DIV/0!</v>
      </c>
      <c r="F123" s="92" t="e">
        <f>F93/F110</f>
        <v>#DIV/0!</v>
      </c>
    </row>
    <row r="124" spans="1:6" ht="16.899999999999999" customHeight="1" x14ac:dyDescent="0.2">
      <c r="A124" s="99" t="s">
        <v>59</v>
      </c>
      <c r="B124" s="33" t="e">
        <f>(B9*2800)/B108</f>
        <v>#DIV/0!</v>
      </c>
      <c r="C124" s="33" t="e">
        <f>(C9*2800)/C108</f>
        <v>#DIV/0!</v>
      </c>
      <c r="D124" s="33" t="e">
        <f>(D9*2800)/D108</f>
        <v>#DIV/0!</v>
      </c>
      <c r="E124" s="92" t="e">
        <f>(E9*2800)/E108</f>
        <v>#DIV/0!</v>
      </c>
      <c r="F124" s="92" t="e">
        <f>(F9*2800)/F108</f>
        <v>#DIV/0!</v>
      </c>
    </row>
    <row r="125" spans="1:6" ht="16.899999999999999" customHeight="1" x14ac:dyDescent="0.2">
      <c r="A125" s="99" t="s">
        <v>58</v>
      </c>
      <c r="B125" s="24" t="e">
        <f>B108/B97</f>
        <v>#DIV/0!</v>
      </c>
      <c r="C125" s="24" t="e">
        <f>C108/C97</f>
        <v>#DIV/0!</v>
      </c>
      <c r="D125" s="24" t="e">
        <f>D108/D97</f>
        <v>#DIV/0!</v>
      </c>
      <c r="E125" s="24" t="e">
        <f>E108/E97</f>
        <v>#DIV/0!</v>
      </c>
      <c r="F125" s="24" t="e">
        <f>F108/F97</f>
        <v>#DIV/0!</v>
      </c>
    </row>
    <row r="126" spans="1:6" ht="16.899999999999999" customHeight="1" x14ac:dyDescent="0.2">
      <c r="B126" s="2"/>
      <c r="C126" s="2"/>
      <c r="D126" s="2"/>
      <c r="E126" s="2"/>
      <c r="F126" s="2"/>
    </row>
    <row r="127" spans="1:6" ht="21" customHeight="1" x14ac:dyDescent="0.2">
      <c r="A127" s="190">
        <f>A1</f>
        <v>0</v>
      </c>
      <c r="B127" s="191"/>
      <c r="C127" s="191"/>
      <c r="D127" s="191"/>
      <c r="E127" s="191"/>
      <c r="F127" s="191"/>
    </row>
    <row r="128" spans="1:6" ht="21" customHeight="1" x14ac:dyDescent="0.2">
      <c r="A128" s="190" t="s">
        <v>66</v>
      </c>
      <c r="B128" s="191"/>
      <c r="C128" s="191"/>
      <c r="D128" s="191"/>
      <c r="E128" s="191"/>
      <c r="F128" s="191"/>
    </row>
    <row r="129" spans="1:6" ht="21" customHeight="1" x14ac:dyDescent="0.2">
      <c r="A129" s="190" t="s">
        <v>67</v>
      </c>
      <c r="B129" s="191"/>
      <c r="C129" s="191"/>
      <c r="D129" s="191"/>
      <c r="E129" s="191" t="s">
        <v>36</v>
      </c>
      <c r="F129" s="191"/>
    </row>
    <row r="130" spans="1:6" ht="21" customHeight="1" x14ac:dyDescent="0.2">
      <c r="A130" s="190" t="str">
        <f>A4</f>
        <v>June 30, 2010 and 2009</v>
      </c>
      <c r="B130" s="191"/>
      <c r="C130" s="191"/>
      <c r="D130" s="191"/>
      <c r="E130" s="191"/>
      <c r="F130" s="191"/>
    </row>
    <row r="131" spans="1:6" ht="21" customHeight="1" x14ac:dyDescent="0.2">
      <c r="A131" s="192" t="s">
        <v>6</v>
      </c>
      <c r="B131" s="193"/>
      <c r="C131" s="193"/>
      <c r="D131" s="193"/>
      <c r="E131" s="193"/>
      <c r="F131" s="193"/>
    </row>
    <row r="132" spans="1:6" ht="16.899999999999999" customHeight="1" x14ac:dyDescent="0.2">
      <c r="A132" s="4" t="s">
        <v>6</v>
      </c>
      <c r="B132" s="5">
        <v>2013</v>
      </c>
      <c r="C132" s="5">
        <v>2012</v>
      </c>
      <c r="D132" s="5">
        <v>2011</v>
      </c>
      <c r="E132" s="5">
        <v>2010</v>
      </c>
      <c r="F132" s="6">
        <v>2009</v>
      </c>
    </row>
    <row r="133" spans="1:6" ht="16.899999999999999" customHeight="1" x14ac:dyDescent="0.2">
      <c r="A133" s="7" t="s">
        <v>73</v>
      </c>
      <c r="B133" s="8"/>
      <c r="C133" s="8"/>
      <c r="D133" s="8"/>
      <c r="E133" s="8"/>
      <c r="F133" s="9"/>
    </row>
    <row r="134" spans="1:6" ht="16.899999999999999" customHeight="1" x14ac:dyDescent="0.2">
      <c r="A134" s="10" t="s">
        <v>44</v>
      </c>
      <c r="B134" s="42" t="e">
        <f t="shared" ref="B134:D137" si="5">+B93/+$E$97</f>
        <v>#DIV/0!</v>
      </c>
      <c r="C134" s="42" t="e">
        <f t="shared" si="5"/>
        <v>#DIV/0!</v>
      </c>
      <c r="D134" s="42" t="e">
        <f t="shared" si="5"/>
        <v>#DIV/0!</v>
      </c>
      <c r="E134" s="42" t="e">
        <f>+E93/+E97</f>
        <v>#DIV/0!</v>
      </c>
      <c r="F134" s="43" t="e">
        <f>+F93/+F97</f>
        <v>#DIV/0!</v>
      </c>
    </row>
    <row r="135" spans="1:6" ht="16.899999999999999" customHeight="1" x14ac:dyDescent="0.2">
      <c r="A135" s="10" t="s">
        <v>46</v>
      </c>
      <c r="B135" s="42" t="e">
        <f t="shared" si="5"/>
        <v>#DIV/0!</v>
      </c>
      <c r="C135" s="42" t="e">
        <f t="shared" si="5"/>
        <v>#DIV/0!</v>
      </c>
      <c r="D135" s="42" t="e">
        <f t="shared" si="5"/>
        <v>#DIV/0!</v>
      </c>
      <c r="E135" s="42" t="e">
        <f>+E94/+E97</f>
        <v>#DIV/0!</v>
      </c>
      <c r="F135" s="43" t="e">
        <f>+F94/+F97</f>
        <v>#DIV/0!</v>
      </c>
    </row>
    <row r="136" spans="1:6" ht="16.899999999999999" customHeight="1" x14ac:dyDescent="0.2">
      <c r="A136" s="10" t="s">
        <v>45</v>
      </c>
      <c r="B136" s="42" t="e">
        <f t="shared" si="5"/>
        <v>#DIV/0!</v>
      </c>
      <c r="C136" s="42" t="e">
        <f t="shared" si="5"/>
        <v>#DIV/0!</v>
      </c>
      <c r="D136" s="42" t="e">
        <f t="shared" si="5"/>
        <v>#DIV/0!</v>
      </c>
      <c r="E136" s="42" t="e">
        <f>+E95/+E97</f>
        <v>#DIV/0!</v>
      </c>
      <c r="F136" s="43" t="e">
        <f>+F95/+F97</f>
        <v>#DIV/0!</v>
      </c>
    </row>
    <row r="137" spans="1:6" ht="16.899999999999999" customHeight="1" x14ac:dyDescent="0.2">
      <c r="A137" s="10" t="s">
        <v>20</v>
      </c>
      <c r="B137" s="44" t="e">
        <f t="shared" si="5"/>
        <v>#DIV/0!</v>
      </c>
      <c r="C137" s="44" t="e">
        <f t="shared" si="5"/>
        <v>#DIV/0!</v>
      </c>
      <c r="D137" s="44" t="e">
        <f t="shared" si="5"/>
        <v>#DIV/0!</v>
      </c>
      <c r="E137" s="44" t="e">
        <f>+E96/+E97</f>
        <v>#DIV/0!</v>
      </c>
      <c r="F137" s="45" t="e">
        <f>+F96/+F97</f>
        <v>#DIV/0!</v>
      </c>
    </row>
    <row r="138" spans="1:6" ht="16.899999999999999" customHeight="1" x14ac:dyDescent="0.2">
      <c r="A138" s="15" t="s">
        <v>21</v>
      </c>
      <c r="B138" s="44" t="e">
        <f>SUM(B134:B137)</f>
        <v>#DIV/0!</v>
      </c>
      <c r="C138" s="44" t="e">
        <f>SUM(C134:C137)</f>
        <v>#DIV/0!</v>
      </c>
      <c r="D138" s="44" t="e">
        <f>SUM(D134:D137)</f>
        <v>#DIV/0!</v>
      </c>
      <c r="E138" s="44" t="e">
        <f>SUM(E134:E137)</f>
        <v>#DIV/0!</v>
      </c>
      <c r="F138" s="45" t="e">
        <f>SUM(F134:F137)</f>
        <v>#DIV/0!</v>
      </c>
    </row>
    <row r="139" spans="1:6" ht="16.899999999999999" customHeight="1" x14ac:dyDescent="0.2">
      <c r="A139" s="10"/>
      <c r="B139" s="8"/>
      <c r="C139" s="8"/>
      <c r="D139" s="8"/>
      <c r="E139" s="8"/>
      <c r="F139" s="9"/>
    </row>
    <row r="140" spans="1:6" ht="16.899999999999999" customHeight="1" x14ac:dyDescent="0.2">
      <c r="A140" s="7" t="s">
        <v>74</v>
      </c>
      <c r="B140" s="8"/>
      <c r="C140" s="8"/>
      <c r="D140" s="8"/>
      <c r="E140" s="8"/>
      <c r="F140" s="9"/>
    </row>
    <row r="141" spans="1:6" ht="16.899999999999999" customHeight="1" x14ac:dyDescent="0.2">
      <c r="A141" s="10" t="s">
        <v>22</v>
      </c>
      <c r="B141" s="42" t="e">
        <f t="shared" ref="B141:D143" si="6">+B100/+$E$103</f>
        <v>#DIV/0!</v>
      </c>
      <c r="C141" s="42" t="e">
        <f t="shared" si="6"/>
        <v>#DIV/0!</v>
      </c>
      <c r="D141" s="42" t="e">
        <f t="shared" si="6"/>
        <v>#DIV/0!</v>
      </c>
      <c r="E141" s="42" t="e">
        <f>+E100/+E103</f>
        <v>#DIV/0!</v>
      </c>
      <c r="F141" s="43" t="e">
        <f>+F100/+F103</f>
        <v>#DIV/0!</v>
      </c>
    </row>
    <row r="142" spans="1:6" ht="16.899999999999999" customHeight="1" x14ac:dyDescent="0.2">
      <c r="A142" s="10" t="s">
        <v>47</v>
      </c>
      <c r="B142" s="42" t="e">
        <f t="shared" si="6"/>
        <v>#DIV/0!</v>
      </c>
      <c r="C142" s="42" t="e">
        <f t="shared" si="6"/>
        <v>#DIV/0!</v>
      </c>
      <c r="D142" s="42" t="e">
        <f t="shared" si="6"/>
        <v>#DIV/0!</v>
      </c>
      <c r="E142" s="42" t="e">
        <f>+E101/+E103</f>
        <v>#DIV/0!</v>
      </c>
      <c r="F142" s="43" t="e">
        <f>+F101/+F103</f>
        <v>#DIV/0!</v>
      </c>
    </row>
    <row r="143" spans="1:6" ht="16.899999999999999" customHeight="1" x14ac:dyDescent="0.2">
      <c r="A143" s="10" t="s">
        <v>23</v>
      </c>
      <c r="B143" s="44" t="e">
        <f t="shared" si="6"/>
        <v>#DIV/0!</v>
      </c>
      <c r="C143" s="44" t="e">
        <f t="shared" si="6"/>
        <v>#DIV/0!</v>
      </c>
      <c r="D143" s="44" t="e">
        <f t="shared" si="6"/>
        <v>#DIV/0!</v>
      </c>
      <c r="E143" s="44" t="e">
        <f>+E102/+E103</f>
        <v>#DIV/0!</v>
      </c>
      <c r="F143" s="45" t="e">
        <f>+F102/+F103</f>
        <v>#DIV/0!</v>
      </c>
    </row>
    <row r="144" spans="1:6" ht="16.899999999999999" customHeight="1" x14ac:dyDescent="0.2">
      <c r="A144" s="15" t="s">
        <v>24</v>
      </c>
      <c r="B144" s="44" t="e">
        <f>SUM(B141:B143)</f>
        <v>#DIV/0!</v>
      </c>
      <c r="C144" s="44" t="e">
        <f>SUM(C141:C143)</f>
        <v>#DIV/0!</v>
      </c>
      <c r="D144" s="44" t="e">
        <f>SUM(D141:D143)</f>
        <v>#DIV/0!</v>
      </c>
      <c r="E144" s="44" t="e">
        <f>SUM(E141:E143)</f>
        <v>#DIV/0!</v>
      </c>
      <c r="F144" s="45" t="e">
        <f>SUM(F141:F143)</f>
        <v>#DIV/0!</v>
      </c>
    </row>
    <row r="145" spans="1:6" ht="16.899999999999999" customHeight="1" x14ac:dyDescent="0.2">
      <c r="A145" s="29"/>
      <c r="B145" s="44"/>
      <c r="C145" s="44"/>
      <c r="D145" s="44"/>
      <c r="E145" s="44"/>
      <c r="F145" s="45"/>
    </row>
    <row r="146" spans="1:6" ht="16.899999999999999" customHeight="1" x14ac:dyDescent="0.2">
      <c r="A146" s="32" t="s">
        <v>91</v>
      </c>
      <c r="B146" s="42"/>
      <c r="C146" s="42"/>
      <c r="D146" s="42"/>
      <c r="E146" s="42"/>
      <c r="F146" s="43"/>
    </row>
    <row r="147" spans="1:6" ht="16.899999999999999" customHeight="1" x14ac:dyDescent="0.2">
      <c r="A147" s="10" t="s">
        <v>135</v>
      </c>
      <c r="B147" s="42" t="e">
        <f>B106/B110</f>
        <v>#DIV/0!</v>
      </c>
      <c r="C147" s="42" t="e">
        <f>C106/C110</f>
        <v>#DIV/0!</v>
      </c>
      <c r="D147" s="42" t="e">
        <f>D106/D110</f>
        <v>#DIV/0!</v>
      </c>
      <c r="E147" s="42" t="e">
        <f>E106/E110</f>
        <v>#DIV/0!</v>
      </c>
      <c r="F147" s="43" t="e">
        <f>F106/F110</f>
        <v>#DIV/0!</v>
      </c>
    </row>
    <row r="148" spans="1:6" ht="16.899999999999999" customHeight="1" x14ac:dyDescent="0.2">
      <c r="A148" s="10" t="s">
        <v>133</v>
      </c>
      <c r="B148" s="42" t="e">
        <f>B107/B110</f>
        <v>#DIV/0!</v>
      </c>
      <c r="C148" s="42" t="e">
        <f>C107/C110</f>
        <v>#DIV/0!</v>
      </c>
      <c r="D148" s="42" t="e">
        <f>D107/D110</f>
        <v>#DIV/0!</v>
      </c>
      <c r="E148" s="42" t="e">
        <f>E107/E110</f>
        <v>#DIV/0!</v>
      </c>
      <c r="F148" s="43" t="e">
        <f>F107/F110</f>
        <v>#DIV/0!</v>
      </c>
    </row>
    <row r="149" spans="1:6" ht="16.899999999999999" customHeight="1" x14ac:dyDescent="0.2">
      <c r="A149" s="10" t="s">
        <v>52</v>
      </c>
      <c r="B149" s="42" t="e">
        <f>B108/B110</f>
        <v>#DIV/0!</v>
      </c>
      <c r="C149" s="42" t="e">
        <f>C108/C110</f>
        <v>#DIV/0!</v>
      </c>
      <c r="D149" s="42" t="e">
        <f>D108/D110</f>
        <v>#DIV/0!</v>
      </c>
      <c r="E149" s="42" t="e">
        <f>E108/E110</f>
        <v>#DIV/0!</v>
      </c>
      <c r="F149" s="43" t="e">
        <f>F108/F110</f>
        <v>#DIV/0!</v>
      </c>
    </row>
    <row r="150" spans="1:6" ht="16.899999999999999" customHeight="1" x14ac:dyDescent="0.2">
      <c r="A150" s="10" t="s">
        <v>28</v>
      </c>
      <c r="B150" s="44" t="e">
        <f>B109/B110</f>
        <v>#DIV/0!</v>
      </c>
      <c r="C150" s="44" t="e">
        <f>C109/C110</f>
        <v>#DIV/0!</v>
      </c>
      <c r="D150" s="44" t="e">
        <f>D109/D110</f>
        <v>#DIV/0!</v>
      </c>
      <c r="E150" s="44" t="e">
        <f>E109/E110</f>
        <v>#DIV/0!</v>
      </c>
      <c r="F150" s="45" t="e">
        <f>F109/F110</f>
        <v>#DIV/0!</v>
      </c>
    </row>
    <row r="151" spans="1:6" ht="16.899999999999999" customHeight="1" x14ac:dyDescent="0.2">
      <c r="A151" s="29" t="s">
        <v>37</v>
      </c>
      <c r="B151" s="44" t="e">
        <f>SUM(B147:B150)</f>
        <v>#DIV/0!</v>
      </c>
      <c r="C151" s="44" t="e">
        <f>SUM(C147:C150)</f>
        <v>#DIV/0!</v>
      </c>
      <c r="D151" s="44" t="e">
        <f>SUM(D147:D150)</f>
        <v>#DIV/0!</v>
      </c>
      <c r="E151" s="44" t="e">
        <f>SUM(E147:E150)</f>
        <v>#DIV/0!</v>
      </c>
      <c r="F151" s="45" t="e">
        <f>SUM(F147:F150)</f>
        <v>#DIV/0!</v>
      </c>
    </row>
    <row r="152" spans="1:6" ht="16.899999999999999" customHeight="1" x14ac:dyDescent="0.2">
      <c r="A152" s="17"/>
      <c r="B152" s="46"/>
      <c r="C152" s="46"/>
      <c r="D152" s="46"/>
      <c r="E152" s="46"/>
      <c r="F152" s="47"/>
    </row>
    <row r="153" spans="1:6" ht="21" customHeight="1" x14ac:dyDescent="0.2">
      <c r="A153" s="190">
        <f>A1</f>
        <v>0</v>
      </c>
      <c r="B153" s="191"/>
      <c r="C153" s="191"/>
      <c r="D153" s="191"/>
      <c r="E153" s="191"/>
      <c r="F153" s="191"/>
    </row>
    <row r="154" spans="1:6" ht="21" customHeight="1" x14ac:dyDescent="0.2">
      <c r="A154" s="190" t="s">
        <v>69</v>
      </c>
      <c r="B154" s="191"/>
      <c r="C154" s="191"/>
      <c r="D154" s="191"/>
      <c r="E154" s="191"/>
      <c r="F154" s="191"/>
    </row>
    <row r="155" spans="1:6" ht="21" customHeight="1" x14ac:dyDescent="0.2">
      <c r="A155" s="190" t="s">
        <v>68</v>
      </c>
      <c r="B155" s="191"/>
      <c r="C155" s="191"/>
      <c r="D155" s="191"/>
      <c r="E155" s="191" t="s">
        <v>36</v>
      </c>
      <c r="F155" s="191"/>
    </row>
    <row r="156" spans="1:6" ht="21" customHeight="1" x14ac:dyDescent="0.2">
      <c r="A156" s="190" t="str">
        <f>A4</f>
        <v>June 30, 2010 and 2009</v>
      </c>
      <c r="B156" s="191"/>
      <c r="C156" s="191"/>
      <c r="D156" s="191"/>
      <c r="E156" s="191"/>
      <c r="F156" s="191"/>
    </row>
    <row r="157" spans="1:6" ht="21" customHeight="1" x14ac:dyDescent="0.2">
      <c r="A157" s="190"/>
      <c r="B157" s="190"/>
      <c r="C157" s="190"/>
      <c r="D157" s="190"/>
      <c r="E157" s="190"/>
      <c r="F157" s="190"/>
    </row>
    <row r="158" spans="1:6" ht="16.899999999999999" customHeight="1" x14ac:dyDescent="0.2">
      <c r="A158" s="4" t="s">
        <v>6</v>
      </c>
      <c r="B158" s="5">
        <v>2013</v>
      </c>
      <c r="C158" s="5">
        <v>2012</v>
      </c>
      <c r="D158" s="5">
        <v>2011</v>
      </c>
      <c r="E158" s="5">
        <v>2010</v>
      </c>
      <c r="F158" s="6">
        <v>2009</v>
      </c>
    </row>
    <row r="159" spans="1:6" ht="16.899999999999999" customHeight="1" x14ac:dyDescent="0.2">
      <c r="A159" s="7" t="s">
        <v>88</v>
      </c>
      <c r="B159" s="8"/>
      <c r="C159" s="8"/>
      <c r="D159" s="8"/>
      <c r="E159" s="8"/>
      <c r="F159" s="9"/>
    </row>
    <row r="160" spans="1:6" ht="16.899999999999999" customHeight="1" x14ac:dyDescent="0.2">
      <c r="A160" s="10" t="s">
        <v>25</v>
      </c>
      <c r="B160" s="11">
        <f>B115</f>
        <v>0</v>
      </c>
      <c r="C160" s="11">
        <f>C115</f>
        <v>0</v>
      </c>
      <c r="D160" s="11">
        <f>D115</f>
        <v>0</v>
      </c>
      <c r="E160" s="11">
        <f>E115</f>
        <v>0</v>
      </c>
      <c r="F160" s="12">
        <f>F115</f>
        <v>0</v>
      </c>
    </row>
    <row r="161" spans="1:6" ht="16.899999999999999" customHeight="1" x14ac:dyDescent="0.2">
      <c r="A161" s="10" t="s">
        <v>26</v>
      </c>
      <c r="B161" s="95"/>
      <c r="C161" s="95"/>
      <c r="D161" s="95"/>
      <c r="E161" s="95"/>
      <c r="F161" s="76"/>
    </row>
    <row r="162" spans="1:6" ht="16.899999999999999" customHeight="1" x14ac:dyDescent="0.2">
      <c r="A162" s="31" t="s">
        <v>70</v>
      </c>
      <c r="B162" s="78"/>
      <c r="C162" s="78"/>
      <c r="D162" s="78"/>
      <c r="E162" s="78"/>
      <c r="F162" s="79"/>
    </row>
    <row r="163" spans="1:6" ht="16.899999999999999" customHeight="1" x14ac:dyDescent="0.2">
      <c r="A163" s="31" t="s">
        <v>71</v>
      </c>
      <c r="B163" s="36">
        <f>B164-B162-B160</f>
        <v>0</v>
      </c>
      <c r="C163" s="36">
        <f>C164-C162-C160</f>
        <v>0</v>
      </c>
      <c r="D163" s="36">
        <f>D164-D162-D160</f>
        <v>0</v>
      </c>
      <c r="E163" s="36">
        <f>E164-E162-E160</f>
        <v>0</v>
      </c>
      <c r="F163" s="37">
        <f>F164-F162-F160</f>
        <v>0</v>
      </c>
    </row>
    <row r="164" spans="1:6" ht="16.899999999999999" customHeight="1" x14ac:dyDescent="0.2">
      <c r="A164" s="15" t="s">
        <v>48</v>
      </c>
      <c r="B164" s="80"/>
      <c r="C164" s="80"/>
      <c r="D164" s="80"/>
      <c r="E164" s="80"/>
      <c r="F164" s="81"/>
    </row>
    <row r="165" spans="1:6" ht="16.899999999999999" customHeight="1" x14ac:dyDescent="0.2">
      <c r="A165" s="10"/>
      <c r="B165" s="11"/>
      <c r="C165" s="11"/>
      <c r="D165" s="11"/>
      <c r="E165" s="11"/>
      <c r="F165" s="12"/>
    </row>
    <row r="166" spans="1:6" ht="16.899999999999999" customHeight="1" x14ac:dyDescent="0.2">
      <c r="A166" s="35" t="s">
        <v>49</v>
      </c>
      <c r="B166" s="80"/>
      <c r="C166" s="80"/>
      <c r="D166" s="80"/>
      <c r="E166" s="80"/>
      <c r="F166" s="81"/>
    </row>
    <row r="167" spans="1:6" ht="16.899999999999999" customHeight="1" x14ac:dyDescent="0.2">
      <c r="A167" s="10"/>
      <c r="B167" s="11"/>
      <c r="C167" s="11"/>
      <c r="D167" s="11"/>
      <c r="E167" s="11"/>
      <c r="F167" s="12"/>
    </row>
    <row r="168" spans="1:6" ht="16.899999999999999" customHeight="1" x14ac:dyDescent="0.2">
      <c r="A168" s="7" t="s">
        <v>87</v>
      </c>
      <c r="B168" s="11"/>
      <c r="C168" s="11"/>
      <c r="D168" s="11"/>
      <c r="E168" s="11"/>
      <c r="F168" s="12"/>
    </row>
    <row r="169" spans="1:6" ht="16.899999999999999" customHeight="1" x14ac:dyDescent="0.2">
      <c r="A169" s="16" t="s">
        <v>27</v>
      </c>
      <c r="B169" s="78"/>
      <c r="C169" s="78"/>
      <c r="D169" s="78"/>
      <c r="E169" s="78"/>
      <c r="F169" s="79"/>
    </row>
    <row r="170" spans="1:6" ht="16.899999999999999" customHeight="1" x14ac:dyDescent="0.2">
      <c r="A170" s="16" t="s">
        <v>29</v>
      </c>
      <c r="B170" s="78"/>
      <c r="C170" s="78"/>
      <c r="D170" s="78"/>
      <c r="E170" s="78"/>
      <c r="F170" s="79"/>
    </row>
    <row r="171" spans="1:6" ht="16.899999999999999" customHeight="1" x14ac:dyDescent="0.2">
      <c r="A171" s="16" t="s">
        <v>28</v>
      </c>
      <c r="B171" s="80"/>
      <c r="C171" s="80"/>
      <c r="D171" s="80"/>
      <c r="E171" s="80"/>
      <c r="F171" s="81"/>
    </row>
    <row r="172" spans="1:6" ht="16.899999999999999" customHeight="1" x14ac:dyDescent="0.2">
      <c r="A172" s="35" t="s">
        <v>30</v>
      </c>
      <c r="B172" s="13">
        <f>SUM(B169:B171)</f>
        <v>0</v>
      </c>
      <c r="C172" s="13">
        <f>SUM(C169:C171)</f>
        <v>0</v>
      </c>
      <c r="D172" s="13">
        <f>SUM(D169:D171)</f>
        <v>0</v>
      </c>
      <c r="E172" s="13">
        <f>SUM(E169:E171)</f>
        <v>0</v>
      </c>
      <c r="F172" s="14">
        <f>SUM(F169:F171)</f>
        <v>0</v>
      </c>
    </row>
    <row r="173" spans="1:6" ht="16.899999999999999" customHeight="1" x14ac:dyDescent="0.2">
      <c r="A173" s="10"/>
      <c r="B173" s="11"/>
      <c r="C173" s="11"/>
      <c r="D173" s="11"/>
      <c r="E173" s="11"/>
      <c r="F173" s="12"/>
    </row>
    <row r="174" spans="1:6" ht="16.899999999999999" customHeight="1" x14ac:dyDescent="0.2">
      <c r="A174" s="15" t="s">
        <v>31</v>
      </c>
      <c r="B174" s="13">
        <f>+B164+B166+B172</f>
        <v>0</v>
      </c>
      <c r="C174" s="13">
        <f>+C164+C166+C172</f>
        <v>0</v>
      </c>
      <c r="D174" s="13">
        <f>+D164+D166+D172</f>
        <v>0</v>
      </c>
      <c r="E174" s="13">
        <f>+E164+E166+E172</f>
        <v>0</v>
      </c>
      <c r="F174" s="14">
        <f>+F164+F166+F172</f>
        <v>0</v>
      </c>
    </row>
    <row r="175" spans="1:6" ht="16.899999999999999" customHeight="1" x14ac:dyDescent="0.2">
      <c r="A175" s="30"/>
      <c r="B175" s="40"/>
      <c r="C175" s="40"/>
      <c r="D175" s="40"/>
      <c r="E175" s="40"/>
      <c r="F175" s="41"/>
    </row>
    <row r="176" spans="1:6" ht="21" customHeight="1" x14ac:dyDescent="0.2">
      <c r="A176" s="190">
        <f>A1</f>
        <v>0</v>
      </c>
      <c r="B176" s="191"/>
      <c r="C176" s="191"/>
      <c r="D176" s="191"/>
      <c r="E176" s="191"/>
      <c r="F176" s="191"/>
    </row>
    <row r="177" spans="1:6" ht="21" customHeight="1" x14ac:dyDescent="0.2">
      <c r="A177" s="190" t="s">
        <v>72</v>
      </c>
      <c r="B177" s="191"/>
      <c r="C177" s="191"/>
      <c r="D177" s="191"/>
      <c r="E177" s="191"/>
      <c r="F177" s="191"/>
    </row>
    <row r="178" spans="1:6" ht="21" customHeight="1" x14ac:dyDescent="0.2">
      <c r="A178" s="190" t="s">
        <v>92</v>
      </c>
      <c r="B178" s="191"/>
      <c r="C178" s="191"/>
      <c r="D178" s="191"/>
      <c r="E178" s="191" t="s">
        <v>36</v>
      </c>
      <c r="F178" s="191"/>
    </row>
    <row r="179" spans="1:6" ht="21" customHeight="1" x14ac:dyDescent="0.2">
      <c r="A179" s="190" t="str">
        <f>A4</f>
        <v>June 30, 2010 and 2009</v>
      </c>
      <c r="B179" s="191"/>
      <c r="C179" s="191"/>
      <c r="D179" s="191"/>
      <c r="E179" s="191"/>
      <c r="F179" s="191"/>
    </row>
    <row r="180" spans="1:6" ht="21" customHeight="1" x14ac:dyDescent="0.2">
      <c r="A180" s="102"/>
      <c r="B180" s="28"/>
      <c r="C180" s="28"/>
      <c r="D180" s="28"/>
      <c r="E180" s="28"/>
      <c r="F180" s="28"/>
    </row>
    <row r="181" spans="1:6" ht="16.899999999999999" customHeight="1" x14ac:dyDescent="0.2">
      <c r="A181" s="4" t="s">
        <v>6</v>
      </c>
      <c r="B181" s="5">
        <v>2013</v>
      </c>
      <c r="C181" s="5">
        <v>2012</v>
      </c>
      <c r="D181" s="5">
        <v>2011</v>
      </c>
      <c r="E181" s="5">
        <v>2010</v>
      </c>
      <c r="F181" s="6">
        <v>2009</v>
      </c>
    </row>
    <row r="182" spans="1:6" ht="16.899999999999999" customHeight="1" x14ac:dyDescent="0.2">
      <c r="A182" s="10" t="s">
        <v>50</v>
      </c>
      <c r="B182" s="78"/>
      <c r="C182" s="78"/>
      <c r="D182" s="78"/>
      <c r="E182" s="78"/>
      <c r="F182" s="79"/>
    </row>
    <row r="183" spans="1:6" ht="16.899999999999999" customHeight="1" x14ac:dyDescent="0.2">
      <c r="A183" s="10" t="s">
        <v>32</v>
      </c>
      <c r="B183" s="78"/>
      <c r="C183" s="78"/>
      <c r="D183" s="78"/>
      <c r="E183" s="78"/>
      <c r="F183" s="79"/>
    </row>
    <row r="184" spans="1:6" ht="16.899999999999999" customHeight="1" x14ac:dyDescent="0.2">
      <c r="A184" s="10" t="s">
        <v>51</v>
      </c>
      <c r="B184" s="80"/>
      <c r="C184" s="80"/>
      <c r="D184" s="80"/>
      <c r="E184" s="80"/>
      <c r="F184" s="81"/>
    </row>
    <row r="185" spans="1:6" ht="16.899999999999999" customHeight="1" x14ac:dyDescent="0.2">
      <c r="A185" s="35" t="s">
        <v>76</v>
      </c>
      <c r="B185" s="11">
        <f>SUM(B182:B184)</f>
        <v>0</v>
      </c>
      <c r="C185" s="11">
        <f>SUM(C182:C184)</f>
        <v>0</v>
      </c>
      <c r="D185" s="11">
        <f>SUM(D182:D184)</f>
        <v>0</v>
      </c>
      <c r="E185" s="11">
        <f>SUM(E182:E184)</f>
        <v>0</v>
      </c>
      <c r="F185" s="76">
        <f>SUM(F182:F184)</f>
        <v>0</v>
      </c>
    </row>
    <row r="186" spans="1:6" ht="16.899999999999999" customHeight="1" x14ac:dyDescent="0.2">
      <c r="A186" s="10" t="s">
        <v>93</v>
      </c>
      <c r="B186" s="80"/>
      <c r="C186" s="80"/>
      <c r="D186" s="80"/>
      <c r="E186" s="80"/>
      <c r="F186" s="81"/>
    </row>
    <row r="187" spans="1:6" ht="16.899999999999999" customHeight="1" x14ac:dyDescent="0.2">
      <c r="A187" s="35" t="s">
        <v>94</v>
      </c>
      <c r="B187" s="36">
        <f>+B185-B186</f>
        <v>0</v>
      </c>
      <c r="C187" s="36">
        <f>+C185-C186</f>
        <v>0</v>
      </c>
      <c r="D187" s="36">
        <f>+D185-D186</f>
        <v>0</v>
      </c>
      <c r="E187" s="36">
        <f>+E185-E186</f>
        <v>0</v>
      </c>
      <c r="F187" s="37">
        <f>+F185-F186</f>
        <v>0</v>
      </c>
    </row>
    <row r="188" spans="1:6" ht="16.899999999999999" customHeight="1" x14ac:dyDescent="0.2">
      <c r="A188" s="10"/>
      <c r="B188" s="11"/>
      <c r="C188" s="11"/>
      <c r="D188" s="11"/>
      <c r="E188" s="11"/>
      <c r="F188" s="12"/>
    </row>
    <row r="189" spans="1:6" ht="16.899999999999999" customHeight="1" x14ac:dyDescent="0.2">
      <c r="A189" s="10" t="s">
        <v>33</v>
      </c>
      <c r="B189" s="11">
        <f>B191-B190</f>
        <v>0</v>
      </c>
      <c r="C189" s="11">
        <f>C191-C190</f>
        <v>0</v>
      </c>
      <c r="D189" s="11">
        <f>D191-D190</f>
        <v>0</v>
      </c>
      <c r="E189" s="11">
        <f>E191-E190</f>
        <v>0</v>
      </c>
      <c r="F189" s="12">
        <f>F191-F190</f>
        <v>0</v>
      </c>
    </row>
    <row r="190" spans="1:6" ht="16.899999999999999" customHeight="1" x14ac:dyDescent="0.2">
      <c r="A190" s="10" t="s">
        <v>34</v>
      </c>
      <c r="B190" s="80"/>
      <c r="C190" s="80"/>
      <c r="D190" s="80"/>
      <c r="E190" s="80"/>
      <c r="F190" s="81"/>
    </row>
    <row r="191" spans="1:6" ht="16.899999999999999" customHeight="1" x14ac:dyDescent="0.2">
      <c r="A191" s="35" t="s">
        <v>35</v>
      </c>
      <c r="B191" s="82"/>
      <c r="C191" s="82"/>
      <c r="D191" s="82"/>
      <c r="E191" s="82"/>
      <c r="F191" s="83"/>
    </row>
    <row r="192" spans="1:6" ht="16.899999999999999" customHeight="1" x14ac:dyDescent="0.2">
      <c r="A192" s="17"/>
      <c r="B192" s="38"/>
      <c r="C192" s="38"/>
      <c r="D192" s="38"/>
      <c r="E192" s="38"/>
      <c r="F192" s="39"/>
    </row>
    <row r="194" spans="1:6" ht="16.899999999999999" customHeight="1" x14ac:dyDescent="0.2">
      <c r="A194" s="20" t="s">
        <v>61</v>
      </c>
      <c r="B194" s="22" t="s">
        <v>6</v>
      </c>
      <c r="C194" s="22" t="s">
        <v>6</v>
      </c>
      <c r="D194" s="22" t="s">
        <v>6</v>
      </c>
      <c r="E194" s="22" t="s">
        <v>6</v>
      </c>
      <c r="F194" s="22"/>
    </row>
    <row r="195" spans="1:6" ht="16.899999999999999" customHeight="1" x14ac:dyDescent="0.2">
      <c r="A195" s="23" t="s">
        <v>95</v>
      </c>
      <c r="B195" s="33" t="e">
        <f>+B186/+B185</f>
        <v>#DIV/0!</v>
      </c>
      <c r="C195" s="33" t="e">
        <f>+C186/+C185</f>
        <v>#DIV/0!</v>
      </c>
      <c r="D195" s="33" t="e">
        <f>+D186/+D185</f>
        <v>#DIV/0!</v>
      </c>
      <c r="E195" s="24" t="e">
        <f>E186/E185</f>
        <v>#DIV/0!</v>
      </c>
      <c r="F195" s="24" t="e">
        <f>F186/F185</f>
        <v>#DIV/0!</v>
      </c>
    </row>
    <row r="196" spans="1:6" ht="16.899999999999999" customHeight="1" x14ac:dyDescent="0.2">
      <c r="A196" s="23" t="s">
        <v>54</v>
      </c>
      <c r="B196" s="24" t="e">
        <f>+B191/+B97</f>
        <v>#DIV/0!</v>
      </c>
      <c r="C196" s="24" t="e">
        <f>+C191/+C97</f>
        <v>#DIV/0!</v>
      </c>
      <c r="D196" s="24" t="e">
        <f>+D191/+D97</f>
        <v>#DIV/0!</v>
      </c>
      <c r="E196" s="24" t="e">
        <f>E191/E97</f>
        <v>#DIV/0!</v>
      </c>
      <c r="F196" s="24" t="e">
        <f>F191/F97</f>
        <v>#DIV/0!</v>
      </c>
    </row>
    <row r="197" spans="1:6" ht="16.899999999999999" customHeight="1" x14ac:dyDescent="0.2">
      <c r="A197" s="23" t="s">
        <v>53</v>
      </c>
      <c r="B197" s="97" t="e">
        <f>(B115+B191)/B191</f>
        <v>#DIV/0!</v>
      </c>
      <c r="C197" s="97" t="e">
        <f>(C115+C191)/C191</f>
        <v>#DIV/0!</v>
      </c>
      <c r="D197" s="97" t="e">
        <f>(D115+D191)/D191</f>
        <v>#DIV/0!</v>
      </c>
      <c r="E197" s="97" t="e">
        <f>(E115+E191)/E191</f>
        <v>#DIV/0!</v>
      </c>
      <c r="F197" s="97" t="e">
        <f>(F115+F191)/F191</f>
        <v>#DIV/0!</v>
      </c>
    </row>
    <row r="198" spans="1:6" ht="16.899999999999999" customHeight="1" x14ac:dyDescent="0.2">
      <c r="B198" s="3"/>
      <c r="C198" s="3"/>
      <c r="D198" s="3"/>
      <c r="E198" s="3"/>
      <c r="F198" s="3"/>
    </row>
    <row r="199" spans="1:6" ht="16.899999999999999" customHeight="1" x14ac:dyDescent="0.2">
      <c r="B199" s="3"/>
      <c r="C199" s="3"/>
      <c r="D199" s="3"/>
      <c r="E199" s="3"/>
    </row>
  </sheetData>
  <mergeCells count="30">
    <mergeCell ref="A1:G1"/>
    <mergeCell ref="A2:G2"/>
    <mergeCell ref="A3:G3"/>
    <mergeCell ref="A4:G4"/>
    <mergeCell ref="A5:G5"/>
    <mergeCell ref="B8:F8"/>
    <mergeCell ref="A41:F41"/>
    <mergeCell ref="A42:F42"/>
    <mergeCell ref="A43:F43"/>
    <mergeCell ref="A44:F44"/>
    <mergeCell ref="A45:F45"/>
    <mergeCell ref="A86:F86"/>
    <mergeCell ref="A87:F87"/>
    <mergeCell ref="A88:F88"/>
    <mergeCell ref="A89:F89"/>
    <mergeCell ref="A90:F90"/>
    <mergeCell ref="A127:F127"/>
    <mergeCell ref="A128:F128"/>
    <mergeCell ref="A129:F129"/>
    <mergeCell ref="A130:F130"/>
    <mergeCell ref="A131:F131"/>
    <mergeCell ref="A153:F153"/>
    <mergeCell ref="A154:F154"/>
    <mergeCell ref="A155:F155"/>
    <mergeCell ref="A156:F156"/>
    <mergeCell ref="A157:F157"/>
    <mergeCell ref="A176:F176"/>
    <mergeCell ref="A177:F177"/>
    <mergeCell ref="A178:F178"/>
    <mergeCell ref="A179:F179"/>
  </mergeCells>
  <printOptions horizontalCentered="1"/>
  <pageMargins left="0.75" right="0.75" top="0.5" bottom="0.49" header="0.5" footer="0.5"/>
  <pageSetup scale="83" orientation="portrait" r:id="rId1"/>
  <headerFooter alignWithMargins="0"/>
  <rowBreaks count="5" manualBreakCount="5">
    <brk id="33" max="5" man="1"/>
    <brk id="79" max="5" man="1"/>
    <brk id="117" max="5" man="1"/>
    <brk id="144" max="5" man="1"/>
    <brk id="1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2012_Report</vt:lpstr>
      <vt:lpstr>2013 Revenue Report</vt:lpstr>
      <vt:lpstr>NameOfSchool (2)</vt:lpstr>
      <vt:lpstr>'2012_Report'!Print_Area</vt:lpstr>
      <vt:lpstr>'NameOfSchool (2)'!Print_Area</vt:lpstr>
      <vt:lpstr>'2012_Report'!Print_Titles</vt:lpstr>
    </vt:vector>
  </TitlesOfParts>
  <Company>College of New Rochelle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dkeilholtz@comcast.net;Harry.Schwarz@verizon.net</dc:creator>
  <cp:lastModifiedBy>Wadlington, Erika (Council)</cp:lastModifiedBy>
  <cp:lastPrinted>2013-04-05T22:34:40Z</cp:lastPrinted>
  <dcterms:created xsi:type="dcterms:W3CDTF">2005-10-22T16:58:40Z</dcterms:created>
  <dcterms:modified xsi:type="dcterms:W3CDTF">2013-04-09T14:36:30Z</dcterms:modified>
</cp:coreProperties>
</file>