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codeName="ThisWorkbook" checkCompatibility="1" autoCompressPictures="0"/>
  <bookViews>
    <workbookView xWindow="5860" yWindow="340" windowWidth="16900" windowHeight="13520" tabRatio="913" firstSheet="49" activeTab="52"/>
  </bookViews>
  <sheets>
    <sheet name="ATA" sheetId="4" state="hidden" r:id="rId1"/>
    <sheet name="Bridges" sheetId="5" state="hidden" r:id="rId2"/>
    <sheet name="Capital" sheetId="6" state="hidden" r:id="rId3"/>
    <sheet name="Community" sheetId="7" state="hidden" r:id="rId4"/>
    <sheet name="Carlos" sheetId="8" state="hidden" r:id="rId5"/>
    <sheet name="Chavez" sheetId="41" state="hidden" r:id="rId6"/>
    <sheet name="Center" sheetId="9" state="hidden" r:id="rId7"/>
    <sheet name="Child" sheetId="10" state="hidden" r:id="rId8"/>
    <sheet name="DCPrep" sheetId="11" state="hidden" r:id="rId9"/>
    <sheet name="Eagle" sheetId="12" state="hidden" r:id="rId10"/>
    <sheet name="ELH" sheetId="13" state="hidden" r:id="rId11"/>
    <sheet name="ESF" sheetId="42" state="hidden" r:id="rId12"/>
    <sheet name="EWS" sheetId="14" state="hidden" r:id="rId13"/>
    <sheet name="Friendship" sheetId="15" state="hidden" r:id="rId14"/>
    <sheet name="Hope" sheetId="16" state="hidden" r:id="rId15"/>
    <sheet name="Hospitality" sheetId="17" state="hidden" r:id="rId16"/>
    <sheet name="HRA" sheetId="18" state="hidden" r:id="rId17"/>
    <sheet name="Hyde" sheetId="19" state="hidden" r:id="rId18"/>
    <sheet name="IDEA" sheetId="43" state="hidden" r:id="rId19"/>
    <sheet name="Ideal" sheetId="44" state="hidden" r:id="rId20"/>
    <sheet name="Kamit" sheetId="20" state="hidden" r:id="rId21"/>
    <sheet name="KIPP" sheetId="21" state="hidden" r:id="rId22"/>
    <sheet name="LAMB" sheetId="22" state="hidden" r:id="rId23"/>
    <sheet name="LAYC" sheetId="23" state="hidden" r:id="rId24"/>
    <sheet name="Maya" sheetId="24" state="hidden" r:id="rId25"/>
    <sheet name="Meridian" sheetId="25" state="hidden" r:id="rId26"/>
    <sheet name="NCP" sheetId="26" state="hidden" r:id="rId27"/>
    <sheet name="Next" sheetId="27" state="hidden" r:id="rId28"/>
    <sheet name="Options" sheetId="28" state="hidden" r:id="rId29"/>
    <sheet name="Paul" sheetId="29" state="hidden" r:id="rId30"/>
    <sheet name="Potomac" sheetId="30" state="hidden" r:id="rId31"/>
    <sheet name="SEED" sheetId="31" state="hidden" r:id="rId32"/>
    <sheet name="Septima" sheetId="32" state="hidden" r:id="rId33"/>
    <sheet name="SColetta" sheetId="33" state="hidden" r:id="rId34"/>
    <sheet name="Thea" sheetId="34" state="hidden" r:id="rId35"/>
    <sheet name="TMA" sheetId="35" state="hidden" r:id="rId36"/>
    <sheet name="TOL" sheetId="36" state="hidden" r:id="rId37"/>
    <sheet name="2Rivers" sheetId="37" state="hidden" r:id="rId38"/>
    <sheet name="WMST" sheetId="38" state="hidden" r:id="rId39"/>
    <sheet name="WYY" sheetId="39" state="hidden" r:id="rId40"/>
    <sheet name="YAW" sheetId="1" state="hidden" r:id="rId41"/>
    <sheet name="Youth" sheetId="45" state="hidden" r:id="rId42"/>
    <sheet name="Budgeted 2011" sheetId="59" state="hidden" r:id="rId43"/>
    <sheet name="PCS Facilities Exp - Act FY12 " sheetId="58" state="hidden" r:id="rId44"/>
    <sheet name="Budgeted 2013" sheetId="46" state="hidden" r:id="rId45"/>
    <sheet name="Sheet1" sheetId="60" state="hidden" r:id="rId46"/>
    <sheet name="Exhibit A1-FY12" sheetId="66" state="hidden" r:id="rId47"/>
    <sheet name="Exhibit A2-FY12" sheetId="67" state="hidden" r:id="rId48"/>
    <sheet name="Exhibit A3-FY12" sheetId="68" state="hidden" r:id="rId49"/>
    <sheet name="PCS Facilities Exp - Proj FY14" sheetId="47" r:id="rId50"/>
    <sheet name="Exhibit A1-FY14" sheetId="57" r:id="rId51"/>
    <sheet name="Exhibit A2-FY14" sheetId="64" r:id="rId52"/>
    <sheet name="Exhibit A3-FY14" sheetId="65" r:id="rId53"/>
    <sheet name="Lease vs Owned 2014" sheetId="61" state="hidden" r:id="rId54"/>
    <sheet name="FY14 Projections by grd (PCS)" sheetId="62" state="hidden" r:id="rId55"/>
    <sheet name="FY14 vs. ceiling by LEA" sheetId="63" state="hidden" r:id="rId56"/>
  </sheets>
  <externalReferences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Category">[1]Category!$B$5:$C$536</definedName>
    <definedName name="_xlnm.Print_Area" localSheetId="37">'2Rivers'!$A$1:$D$51</definedName>
    <definedName name="_xlnm.Print_Area" localSheetId="0">ATA!$A$1:$D$53</definedName>
    <definedName name="_xlnm.Print_Area" localSheetId="1">Bridges!$A$1:$D$51</definedName>
    <definedName name="_xlnm.Print_Area" localSheetId="2">Capital!$A$1:$D$54</definedName>
    <definedName name="_xlnm.Print_Area" localSheetId="4">Carlos!$A$1:$D$51</definedName>
    <definedName name="_xlnm.Print_Area" localSheetId="6">Center!$A$1:$D$53</definedName>
    <definedName name="_xlnm.Print_Area" localSheetId="5">Chavez!$A$1:$D$51</definedName>
    <definedName name="_xlnm.Print_Area" localSheetId="7">Child!$A$1:$I$62</definedName>
    <definedName name="_xlnm.Print_Area" localSheetId="3">Community!$A$1:$D$51</definedName>
    <definedName name="_xlnm.Print_Area" localSheetId="8">DCPrep!$A$1:$D$54</definedName>
    <definedName name="_xlnm.Print_Area" localSheetId="9">Eagle!$A$1:$D$51</definedName>
    <definedName name="_xlnm.Print_Area" localSheetId="10">ELH!$A$1:$D$51</definedName>
    <definedName name="_xlnm.Print_Area" localSheetId="11">ESF!$A$1:$D$57</definedName>
    <definedName name="_xlnm.Print_Area" localSheetId="12">EWS!$A$1:$D$51</definedName>
    <definedName name="_xlnm.Print_Area" localSheetId="46">'Exhibit A1-FY12'!$A$2:$B$55</definedName>
    <definedName name="_xlnm.Print_Area" localSheetId="50">'Exhibit A1-FY14'!$A$2:$B$55</definedName>
    <definedName name="_xlnm.Print_Area" localSheetId="47">'Exhibit A2-FY12'!$A$2:$B$55</definedName>
    <definedName name="_xlnm.Print_Area" localSheetId="51">'Exhibit A2-FY14'!$A$2:$B$55</definedName>
    <definedName name="_xlnm.Print_Area" localSheetId="48">'Exhibit A3-FY12'!$A$2:$B$55</definedName>
    <definedName name="_xlnm.Print_Area" localSheetId="52">'Exhibit A3-FY14'!$A$2:$B$55</definedName>
    <definedName name="_xlnm.Print_Area" localSheetId="13">Friendship!$A$1:$D$51</definedName>
    <definedName name="_xlnm.Print_Area" localSheetId="15">Hospitality!$A$1:$D$51</definedName>
    <definedName name="_xlnm.Print_Area" localSheetId="16">HRA!$A$1:$D$51</definedName>
    <definedName name="_xlnm.Print_Area" localSheetId="17">Hyde!$A$1:$D$51</definedName>
    <definedName name="_xlnm.Print_Area" localSheetId="18">IDEA!$A$1:$D$51</definedName>
    <definedName name="_xlnm.Print_Area" localSheetId="19">Ideal!$A$1:$D$51</definedName>
    <definedName name="_xlnm.Print_Area" localSheetId="20">Kamit!$A$1:$D$51</definedName>
    <definedName name="_xlnm.Print_Area" localSheetId="21">KIPP!$A$1:$F$51</definedName>
    <definedName name="_xlnm.Print_Area" localSheetId="22">LAMB!$A$1:$D$51</definedName>
    <definedName name="_xlnm.Print_Area" localSheetId="23">LAYC!$A$1:$D$51</definedName>
    <definedName name="_xlnm.Print_Area" localSheetId="53">'Lease vs Owned 2014'!$A$1:$E$110</definedName>
    <definedName name="_xlnm.Print_Area" localSheetId="24">Maya!$A$1:$D$51</definedName>
    <definedName name="_xlnm.Print_Area" localSheetId="25">Meridian!$A$1:$D$51</definedName>
    <definedName name="_xlnm.Print_Area" localSheetId="26">NCP!$A$1:$D$51</definedName>
    <definedName name="_xlnm.Print_Area" localSheetId="27">Next!$A$1:$D$51</definedName>
    <definedName name="_xlnm.Print_Area" localSheetId="28">Options!$A$1:$D$51</definedName>
    <definedName name="_xlnm.Print_Area" localSheetId="29">Paul!$A$1:$D$51</definedName>
    <definedName name="_xlnm.Print_Area" localSheetId="30">Potomac!$A$1:$D$51</definedName>
    <definedName name="_xlnm.Print_Area" localSheetId="33">SColetta!$A$1:$D$51</definedName>
    <definedName name="_xlnm.Print_Area" localSheetId="31">SEED!$A$1:$D$51</definedName>
    <definedName name="_xlnm.Print_Area" localSheetId="32">Septima!$A$1:$D$51</definedName>
    <definedName name="_xlnm.Print_Area" localSheetId="34">Thea!$A$1:$D$51</definedName>
    <definedName name="_xlnm.Print_Area" localSheetId="35">TMA!$A$1:$D$51</definedName>
    <definedName name="_xlnm.Print_Area" localSheetId="36">TOL!$A$1:$D$51</definedName>
    <definedName name="_xlnm.Print_Area" localSheetId="38">WMST!$A$1:$D$51</definedName>
    <definedName name="_xlnm.Print_Area" localSheetId="39">WYY!$A$1:$D$54</definedName>
    <definedName name="_xlnm.Print_Area" localSheetId="40">YAW!$A$1:$D$51</definedName>
    <definedName name="_xlnm.Print_Area" localSheetId="41">Youth!$A$1:$D$51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6" i="58" l="1"/>
  <c r="A55" i="58"/>
  <c r="A54" i="58"/>
  <c r="A53" i="58"/>
  <c r="A52" i="58"/>
  <c r="A51" i="58"/>
  <c r="A50" i="58"/>
  <c r="A49" i="58"/>
  <c r="A47" i="58"/>
  <c r="A48" i="58"/>
  <c r="A45" i="58"/>
  <c r="A44" i="58"/>
  <c r="A43" i="58"/>
  <c r="A42" i="58"/>
  <c r="A41" i="58"/>
  <c r="A40" i="58"/>
  <c r="A39" i="58"/>
  <c r="A38" i="58"/>
  <c r="A37" i="58"/>
  <c r="A35" i="58"/>
  <c r="A36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16" i="58"/>
  <c r="A15" i="58"/>
  <c r="A14" i="58"/>
  <c r="A13" i="58"/>
  <c r="A12" i="58"/>
  <c r="A11" i="58"/>
  <c r="A10" i="58"/>
  <c r="A9" i="58"/>
  <c r="A8" i="58"/>
  <c r="A7" i="58"/>
  <c r="A6" i="58"/>
  <c r="A5" i="58"/>
  <c r="A4" i="58"/>
  <c r="N4" i="47"/>
  <c r="Z4" i="47"/>
  <c r="AB4" i="47"/>
  <c r="N5" i="47"/>
  <c r="Z5" i="47"/>
  <c r="AB5" i="47"/>
  <c r="N6" i="47"/>
  <c r="Z6" i="47"/>
  <c r="AB6" i="47"/>
  <c r="N7" i="47"/>
  <c r="Z7" i="47"/>
  <c r="AB7" i="47"/>
  <c r="N8" i="47"/>
  <c r="Z8" i="47"/>
  <c r="AB8" i="47"/>
  <c r="N9" i="47"/>
  <c r="Z9" i="47"/>
  <c r="AB9" i="47"/>
  <c r="N10" i="47"/>
  <c r="Z10" i="47"/>
  <c r="AB10" i="47"/>
  <c r="N11" i="47"/>
  <c r="Z11" i="47"/>
  <c r="AB11" i="47"/>
  <c r="N12" i="47"/>
  <c r="Z12" i="47"/>
  <c r="AB12" i="47"/>
  <c r="N13" i="47"/>
  <c r="Z13" i="47"/>
  <c r="AB13" i="47"/>
  <c r="N14" i="47"/>
  <c r="Z14" i="47"/>
  <c r="AB14" i="47"/>
  <c r="N16" i="47"/>
  <c r="Z16" i="47"/>
  <c r="AB16" i="47"/>
  <c r="N17" i="47"/>
  <c r="Z17" i="47"/>
  <c r="AB17" i="47"/>
  <c r="N18" i="47"/>
  <c r="Z18" i="47"/>
  <c r="AB18" i="47"/>
  <c r="N19" i="47"/>
  <c r="Z19" i="47"/>
  <c r="AB19" i="47"/>
  <c r="N20" i="47"/>
  <c r="Z20" i="47"/>
  <c r="AB20" i="47"/>
  <c r="N21" i="47"/>
  <c r="Z21" i="47"/>
  <c r="AB21" i="47"/>
  <c r="N22" i="47"/>
  <c r="Z22" i="47"/>
  <c r="AB22" i="47"/>
  <c r="N23" i="47"/>
  <c r="Z23" i="47"/>
  <c r="AB23" i="47"/>
  <c r="N24" i="47"/>
  <c r="Z24" i="47"/>
  <c r="AB24" i="47"/>
  <c r="N25" i="47"/>
  <c r="Z25" i="47"/>
  <c r="AB25" i="47"/>
  <c r="N26" i="47"/>
  <c r="Z26" i="47"/>
  <c r="AB26" i="47"/>
  <c r="N27" i="47"/>
  <c r="Z27" i="47"/>
  <c r="AB27" i="47"/>
  <c r="N28" i="47"/>
  <c r="Z28" i="47"/>
  <c r="AB28" i="47"/>
  <c r="N29" i="47"/>
  <c r="Z29" i="47"/>
  <c r="AB29" i="47"/>
  <c r="N30" i="47"/>
  <c r="Z30" i="47"/>
  <c r="AB30" i="47"/>
  <c r="N31" i="47"/>
  <c r="Z31" i="47"/>
  <c r="AB31" i="47"/>
  <c r="N32" i="47"/>
  <c r="Z32" i="47"/>
  <c r="AB32" i="47"/>
  <c r="N33" i="47"/>
  <c r="Z33" i="47"/>
  <c r="AB33" i="47"/>
  <c r="N35" i="47"/>
  <c r="Z35" i="47"/>
  <c r="AB35" i="47"/>
  <c r="N36" i="47"/>
  <c r="Z36" i="47"/>
  <c r="AB36" i="47"/>
  <c r="N37" i="47"/>
  <c r="Z37" i="47"/>
  <c r="AB37" i="47"/>
  <c r="N38" i="47"/>
  <c r="Z38" i="47"/>
  <c r="AB38" i="47"/>
  <c r="N39" i="47"/>
  <c r="Z39" i="47"/>
  <c r="AB39" i="47"/>
  <c r="N40" i="47"/>
  <c r="Z40" i="47"/>
  <c r="AB40" i="47"/>
  <c r="N41" i="47"/>
  <c r="Z41" i="47"/>
  <c r="AB41" i="47"/>
  <c r="N42" i="47"/>
  <c r="Z42" i="47"/>
  <c r="AB42" i="47"/>
  <c r="N43" i="47"/>
  <c r="Z43" i="47"/>
  <c r="AB43" i="47"/>
  <c r="N44" i="47"/>
  <c r="Z44" i="47"/>
  <c r="AB44" i="47"/>
  <c r="N45" i="47"/>
  <c r="Z45" i="47"/>
  <c r="AB45" i="47"/>
  <c r="N46" i="47"/>
  <c r="Z46" i="47"/>
  <c r="AB46" i="47"/>
  <c r="N47" i="47"/>
  <c r="Z47" i="47"/>
  <c r="AB47" i="47"/>
  <c r="N48" i="47"/>
  <c r="Z48" i="47"/>
  <c r="AB48" i="47"/>
  <c r="N49" i="47"/>
  <c r="Z49" i="47"/>
  <c r="AB49" i="47"/>
  <c r="N50" i="47"/>
  <c r="Z50" i="47"/>
  <c r="AB50" i="47"/>
  <c r="N51" i="47"/>
  <c r="Z51" i="47"/>
  <c r="AB51" i="47"/>
  <c r="N53" i="47"/>
  <c r="Z53" i="47"/>
  <c r="AB53" i="47"/>
  <c r="N56" i="47"/>
  <c r="Z56" i="47"/>
  <c r="AB56" i="47"/>
  <c r="Z57" i="47"/>
  <c r="AB57" i="47"/>
  <c r="Z58" i="47"/>
  <c r="AB58" i="47"/>
  <c r="AB59" i="47"/>
  <c r="AB64" i="47"/>
  <c r="U2" i="62"/>
  <c r="AD4" i="47"/>
  <c r="U3" i="62"/>
  <c r="U4" i="62"/>
  <c r="U5" i="62"/>
  <c r="U6" i="62"/>
  <c r="U7" i="62"/>
  <c r="U8" i="62"/>
  <c r="U9" i="62"/>
  <c r="AD5" i="47"/>
  <c r="U10" i="62"/>
  <c r="AD6" i="47"/>
  <c r="U11" i="62"/>
  <c r="AD7" i="47"/>
  <c r="U12" i="62"/>
  <c r="AD8" i="47"/>
  <c r="U13" i="62"/>
  <c r="AD9" i="47"/>
  <c r="U14" i="62"/>
  <c r="U15" i="62"/>
  <c r="U16" i="62"/>
  <c r="AD10" i="47"/>
  <c r="U17" i="62"/>
  <c r="U18" i="62"/>
  <c r="AD11" i="47"/>
  <c r="U19" i="62"/>
  <c r="U20" i="62"/>
  <c r="U21" i="62"/>
  <c r="U22" i="62"/>
  <c r="U23" i="62"/>
  <c r="U24" i="62"/>
  <c r="AD12" i="47"/>
  <c r="U25" i="62"/>
  <c r="U26" i="62"/>
  <c r="U27" i="62"/>
  <c r="U28" i="62"/>
  <c r="AD13" i="47"/>
  <c r="U29" i="62"/>
  <c r="U30" i="62"/>
  <c r="U31" i="62"/>
  <c r="U32" i="62"/>
  <c r="U33" i="62"/>
  <c r="AD14" i="47"/>
  <c r="U35" i="62"/>
  <c r="AD16" i="47"/>
  <c r="U36" i="62"/>
  <c r="AD17" i="47"/>
  <c r="U37" i="62"/>
  <c r="U38" i="62"/>
  <c r="U39" i="62"/>
  <c r="U40" i="62"/>
  <c r="AD18" i="47"/>
  <c r="U41" i="62"/>
  <c r="AD19" i="47"/>
  <c r="U42" i="62"/>
  <c r="U43" i="62"/>
  <c r="AD20" i="47"/>
  <c r="U49" i="62"/>
  <c r="AD21" i="47"/>
  <c r="U44" i="62"/>
  <c r="U45" i="62"/>
  <c r="AD22" i="47"/>
  <c r="U46" i="62"/>
  <c r="U47" i="62"/>
  <c r="AD23" i="47"/>
  <c r="U48" i="62"/>
  <c r="AD24" i="47"/>
  <c r="U50" i="62"/>
  <c r="AD25" i="47"/>
  <c r="U57" i="62"/>
  <c r="U58" i="62"/>
  <c r="AD27" i="47"/>
  <c r="U59" i="62"/>
  <c r="AD28" i="47"/>
  <c r="U60" i="62"/>
  <c r="U61" i="62"/>
  <c r="U62" i="62"/>
  <c r="AD29" i="47"/>
  <c r="U63" i="62"/>
  <c r="AD30" i="47"/>
  <c r="U64" i="62"/>
  <c r="AD31" i="47"/>
  <c r="U66" i="62"/>
  <c r="AD33" i="47"/>
  <c r="U69" i="62"/>
  <c r="U70" i="62"/>
  <c r="U71" i="62"/>
  <c r="U72" i="62"/>
  <c r="U73" i="62"/>
  <c r="U74" i="62"/>
  <c r="U75" i="62"/>
  <c r="U76" i="62"/>
  <c r="U77" i="62"/>
  <c r="U78" i="62"/>
  <c r="U79" i="62"/>
  <c r="U80" i="62"/>
  <c r="AD36" i="47"/>
  <c r="U82" i="62"/>
  <c r="U83" i="62"/>
  <c r="AD37" i="47"/>
  <c r="U81" i="62"/>
  <c r="AD38" i="47"/>
  <c r="U84" i="62"/>
  <c r="AD39" i="47"/>
  <c r="U85" i="62"/>
  <c r="U86" i="62"/>
  <c r="U87" i="62"/>
  <c r="AD40" i="47"/>
  <c r="U89" i="62"/>
  <c r="AD42" i="47"/>
  <c r="U90" i="62"/>
  <c r="AD43" i="47"/>
  <c r="U103" i="62"/>
  <c r="AD44" i="47"/>
  <c r="U91" i="62"/>
  <c r="AD45" i="47"/>
  <c r="U92" i="62"/>
  <c r="AD46" i="47"/>
  <c r="U93" i="62"/>
  <c r="AD47" i="47"/>
  <c r="U94" i="62"/>
  <c r="AD48" i="47"/>
  <c r="U95" i="62"/>
  <c r="AD49" i="47"/>
  <c r="U96" i="62"/>
  <c r="AD50" i="47"/>
  <c r="U97" i="62"/>
  <c r="AD51" i="47"/>
  <c r="U102" i="62"/>
  <c r="AD53" i="47"/>
  <c r="U105" i="62"/>
  <c r="AD56" i="47"/>
  <c r="U106" i="62"/>
  <c r="AD57" i="47"/>
  <c r="U107" i="62"/>
  <c r="U108" i="62"/>
  <c r="AD58" i="47"/>
  <c r="U109" i="62"/>
  <c r="U110" i="62"/>
  <c r="AD59" i="47"/>
  <c r="U111" i="62"/>
  <c r="AD60" i="47"/>
  <c r="U112" i="62"/>
  <c r="AD61" i="47"/>
  <c r="U113" i="62"/>
  <c r="AD62" i="47"/>
  <c r="AD64" i="47"/>
  <c r="AF64" i="47"/>
  <c r="Z56" i="58"/>
  <c r="N56" i="58"/>
  <c r="AB56" i="58"/>
  <c r="Z4" i="58"/>
  <c r="N4" i="58"/>
  <c r="AB4" i="58"/>
  <c r="Z5" i="58"/>
  <c r="N5" i="58"/>
  <c r="AB5" i="58"/>
  <c r="Z6" i="58"/>
  <c r="N6" i="58"/>
  <c r="AB6" i="58"/>
  <c r="Z7" i="58"/>
  <c r="N7" i="58"/>
  <c r="AB7" i="58"/>
  <c r="Z8" i="58"/>
  <c r="N8" i="58"/>
  <c r="AB8" i="58"/>
  <c r="Z9" i="58"/>
  <c r="N9" i="58"/>
  <c r="AB9" i="58"/>
  <c r="Z10" i="58"/>
  <c r="N10" i="58"/>
  <c r="AB10" i="58"/>
  <c r="Z11" i="58"/>
  <c r="N11" i="58"/>
  <c r="AB11" i="58"/>
  <c r="Z12" i="58"/>
  <c r="N12" i="58"/>
  <c r="AB12" i="58"/>
  <c r="Z13" i="58"/>
  <c r="N13" i="58"/>
  <c r="AB13" i="58"/>
  <c r="Z14" i="58"/>
  <c r="N14" i="58"/>
  <c r="AB14" i="58"/>
  <c r="Z15" i="58"/>
  <c r="N15" i="58"/>
  <c r="AB15" i="58"/>
  <c r="Z16" i="58"/>
  <c r="N16" i="58"/>
  <c r="AB16" i="58"/>
  <c r="Z17" i="58"/>
  <c r="N17" i="58"/>
  <c r="AB17" i="58"/>
  <c r="Z18" i="58"/>
  <c r="N18" i="58"/>
  <c r="AB18" i="58"/>
  <c r="Z19" i="58"/>
  <c r="N19" i="58"/>
  <c r="AB19" i="58"/>
  <c r="Z20" i="58"/>
  <c r="N20" i="58"/>
  <c r="AB20" i="58"/>
  <c r="Z21" i="58"/>
  <c r="N21" i="58"/>
  <c r="AB21" i="58"/>
  <c r="Z22" i="58"/>
  <c r="N22" i="58"/>
  <c r="AB22" i="58"/>
  <c r="Z23" i="58"/>
  <c r="N23" i="58"/>
  <c r="AB23" i="58"/>
  <c r="Z24" i="58"/>
  <c r="N24" i="58"/>
  <c r="AB24" i="58"/>
  <c r="Z25" i="58"/>
  <c r="N25" i="58"/>
  <c r="AB25" i="58"/>
  <c r="Z26" i="58"/>
  <c r="N26" i="58"/>
  <c r="AB26" i="58"/>
  <c r="Z27" i="58"/>
  <c r="N27" i="58"/>
  <c r="AB27" i="58"/>
  <c r="Z28" i="58"/>
  <c r="N28" i="58"/>
  <c r="AB28" i="58"/>
  <c r="Z29" i="58"/>
  <c r="N29" i="58"/>
  <c r="AB29" i="58"/>
  <c r="Z30" i="58"/>
  <c r="N30" i="58"/>
  <c r="AB30" i="58"/>
  <c r="Z31" i="58"/>
  <c r="N31" i="58"/>
  <c r="AB31" i="58"/>
  <c r="Z32" i="58"/>
  <c r="N32" i="58"/>
  <c r="AB32" i="58"/>
  <c r="Z33" i="58"/>
  <c r="N33" i="58"/>
  <c r="AB33" i="58"/>
  <c r="Z34" i="58"/>
  <c r="N34" i="58"/>
  <c r="AB34" i="58"/>
  <c r="Z35" i="58"/>
  <c r="N35" i="58"/>
  <c r="AB35" i="58"/>
  <c r="Z36" i="58"/>
  <c r="N36" i="58"/>
  <c r="AB36" i="58"/>
  <c r="Z37" i="58"/>
  <c r="N37" i="58"/>
  <c r="AB37" i="58"/>
  <c r="Z38" i="58"/>
  <c r="N38" i="58"/>
  <c r="AB38" i="58"/>
  <c r="Z39" i="58"/>
  <c r="N39" i="58"/>
  <c r="AB39" i="58"/>
  <c r="Z40" i="58"/>
  <c r="N40" i="58"/>
  <c r="AB40" i="58"/>
  <c r="Z41" i="58"/>
  <c r="N41" i="58"/>
  <c r="AB41" i="58"/>
  <c r="Z42" i="58"/>
  <c r="N42" i="58"/>
  <c r="AB42" i="58"/>
  <c r="Z43" i="58"/>
  <c r="N43" i="58"/>
  <c r="AB43" i="58"/>
  <c r="Z44" i="58"/>
  <c r="N44" i="58"/>
  <c r="AB44" i="58"/>
  <c r="Z45" i="58"/>
  <c r="N45" i="58"/>
  <c r="AB45" i="58"/>
  <c r="Z46" i="58"/>
  <c r="N46" i="58"/>
  <c r="AB46" i="58"/>
  <c r="Z48" i="58"/>
  <c r="N48" i="58"/>
  <c r="AB48" i="58"/>
  <c r="Z49" i="58"/>
  <c r="N49" i="58"/>
  <c r="AB49" i="58"/>
  <c r="Z50" i="58"/>
  <c r="N50" i="58"/>
  <c r="AB50" i="58"/>
  <c r="Z51" i="58"/>
  <c r="N51" i="58"/>
  <c r="AB51" i="58"/>
  <c r="Z52" i="58"/>
  <c r="N52" i="58"/>
  <c r="AB52" i="58"/>
  <c r="Z53" i="58"/>
  <c r="N53" i="58"/>
  <c r="AB53" i="58"/>
  <c r="Z54" i="58"/>
  <c r="N54" i="58"/>
  <c r="AB54" i="58"/>
  <c r="Z55" i="58"/>
  <c r="N55" i="58"/>
  <c r="AB55" i="58"/>
  <c r="AB57" i="58"/>
  <c r="AD57" i="58"/>
  <c r="AF57" i="58"/>
  <c r="P57" i="58"/>
  <c r="B20" i="66"/>
  <c r="Q57" i="58"/>
  <c r="B21" i="66"/>
  <c r="R57" i="58"/>
  <c r="B22" i="66"/>
  <c r="S57" i="58"/>
  <c r="B23" i="66"/>
  <c r="T57" i="58"/>
  <c r="B24" i="66"/>
  <c r="U57" i="58"/>
  <c r="B26" i="66"/>
  <c r="V57" i="58"/>
  <c r="B27" i="66"/>
  <c r="W57" i="58"/>
  <c r="B28" i="66"/>
  <c r="X57" i="58"/>
  <c r="B29" i="66"/>
  <c r="Y57" i="58"/>
  <c r="B30" i="66"/>
  <c r="B31" i="66"/>
  <c r="B57" i="58"/>
  <c r="B3" i="66"/>
  <c r="C57" i="58"/>
  <c r="B4" i="66"/>
  <c r="D57" i="58"/>
  <c r="B5" i="66"/>
  <c r="E57" i="58"/>
  <c r="B6" i="66"/>
  <c r="F57" i="58"/>
  <c r="B7" i="66"/>
  <c r="G57" i="58"/>
  <c r="B8" i="66"/>
  <c r="H57" i="58"/>
  <c r="B9" i="66"/>
  <c r="I57" i="58"/>
  <c r="B11" i="66"/>
  <c r="J57" i="58"/>
  <c r="B12" i="66"/>
  <c r="K57" i="58"/>
  <c r="B13" i="66"/>
  <c r="L57" i="58"/>
  <c r="B14" i="66"/>
  <c r="M57" i="58"/>
  <c r="B15" i="66"/>
  <c r="B16" i="66"/>
  <c r="B34" i="66"/>
  <c r="B36" i="66"/>
  <c r="B38" i="66"/>
  <c r="B54" i="68"/>
  <c r="B36" i="68"/>
  <c r="B55" i="68"/>
  <c r="B22" i="68"/>
  <c r="B23" i="68"/>
  <c r="B24" i="68"/>
  <c r="B26" i="68"/>
  <c r="B27" i="68"/>
  <c r="B28" i="68"/>
  <c r="B29" i="68"/>
  <c r="B31" i="68"/>
  <c r="B5" i="68"/>
  <c r="B6" i="68"/>
  <c r="B7" i="68"/>
  <c r="B8" i="68"/>
  <c r="B9" i="68"/>
  <c r="B11" i="68"/>
  <c r="B12" i="68"/>
  <c r="B13" i="68"/>
  <c r="B14" i="68"/>
  <c r="B16" i="68"/>
  <c r="B34" i="68"/>
  <c r="B51" i="68"/>
  <c r="B38" i="68"/>
  <c r="B49" i="68"/>
  <c r="D30" i="68"/>
  <c r="D29" i="68"/>
  <c r="D28" i="68"/>
  <c r="D27" i="68"/>
  <c r="D26" i="68"/>
  <c r="D24" i="68"/>
  <c r="D23" i="68"/>
  <c r="D22" i="68"/>
  <c r="D21" i="68"/>
  <c r="D20" i="68"/>
  <c r="D15" i="68"/>
  <c r="D14" i="68"/>
  <c r="D13" i="68"/>
  <c r="D12" i="68"/>
  <c r="D11" i="68"/>
  <c r="D9" i="68"/>
  <c r="D8" i="68"/>
  <c r="D7" i="68"/>
  <c r="D6" i="68"/>
  <c r="D5" i="68"/>
  <c r="D4" i="68"/>
  <c r="D3" i="68"/>
  <c r="B54" i="67"/>
  <c r="B36" i="67"/>
  <c r="B55" i="67"/>
  <c r="B22" i="67"/>
  <c r="B23" i="67"/>
  <c r="B24" i="67"/>
  <c r="B26" i="67"/>
  <c r="B27" i="67"/>
  <c r="B28" i="67"/>
  <c r="B29" i="67"/>
  <c r="B30" i="67"/>
  <c r="B31" i="67"/>
  <c r="B5" i="67"/>
  <c r="B6" i="67"/>
  <c r="B7" i="67"/>
  <c r="B8" i="67"/>
  <c r="B9" i="67"/>
  <c r="B11" i="67"/>
  <c r="B12" i="67"/>
  <c r="B13" i="67"/>
  <c r="B14" i="67"/>
  <c r="B15" i="67"/>
  <c r="B16" i="67"/>
  <c r="B34" i="67"/>
  <c r="B51" i="67"/>
  <c r="B38" i="67"/>
  <c r="B49" i="67"/>
  <c r="D30" i="67"/>
  <c r="D29" i="67"/>
  <c r="D28" i="67"/>
  <c r="D27" i="67"/>
  <c r="D26" i="67"/>
  <c r="D24" i="67"/>
  <c r="D23" i="67"/>
  <c r="D22" i="67"/>
  <c r="D21" i="67"/>
  <c r="D20" i="67"/>
  <c r="D15" i="67"/>
  <c r="D14" i="67"/>
  <c r="D13" i="67"/>
  <c r="D12" i="67"/>
  <c r="D11" i="67"/>
  <c r="D9" i="67"/>
  <c r="D8" i="67"/>
  <c r="D7" i="67"/>
  <c r="D6" i="67"/>
  <c r="D5" i="67"/>
  <c r="D4" i="67"/>
  <c r="D3" i="67"/>
  <c r="Z47" i="58"/>
  <c r="N47" i="58"/>
  <c r="B54" i="66"/>
  <c r="B55" i="66"/>
  <c r="B51" i="66"/>
  <c r="B49" i="66"/>
  <c r="D30" i="66"/>
  <c r="D29" i="66"/>
  <c r="D28" i="66"/>
  <c r="D27" i="66"/>
  <c r="D26" i="66"/>
  <c r="D24" i="66"/>
  <c r="D23" i="66"/>
  <c r="D22" i="66"/>
  <c r="D21" i="66"/>
  <c r="D20" i="66"/>
  <c r="D15" i="66"/>
  <c r="D14" i="66"/>
  <c r="D13" i="66"/>
  <c r="D12" i="66"/>
  <c r="D11" i="66"/>
  <c r="D9" i="66"/>
  <c r="D8" i="66"/>
  <c r="D7" i="66"/>
  <c r="D6" i="66"/>
  <c r="D5" i="66"/>
  <c r="D4" i="66"/>
  <c r="D3" i="66"/>
  <c r="B54" i="65"/>
  <c r="B36" i="65"/>
  <c r="B55" i="65"/>
  <c r="R64" i="47"/>
  <c r="B22" i="65"/>
  <c r="S64" i="47"/>
  <c r="B23" i="65"/>
  <c r="T64" i="47"/>
  <c r="B24" i="65"/>
  <c r="U64" i="47"/>
  <c r="B26" i="65"/>
  <c r="V64" i="47"/>
  <c r="B27" i="65"/>
  <c r="W64" i="47"/>
  <c r="B28" i="65"/>
  <c r="X64" i="47"/>
  <c r="B29" i="65"/>
  <c r="B31" i="65"/>
  <c r="D64" i="47"/>
  <c r="B5" i="65"/>
  <c r="E64" i="47"/>
  <c r="B6" i="65"/>
  <c r="F64" i="47"/>
  <c r="B7" i="65"/>
  <c r="G64" i="47"/>
  <c r="B8" i="65"/>
  <c r="H64" i="47"/>
  <c r="B9" i="65"/>
  <c r="I64" i="47"/>
  <c r="B11" i="65"/>
  <c r="J64" i="47"/>
  <c r="B12" i="65"/>
  <c r="K64" i="47"/>
  <c r="B13" i="65"/>
  <c r="L64" i="47"/>
  <c r="B14" i="65"/>
  <c r="B16" i="65"/>
  <c r="B34" i="65"/>
  <c r="B51" i="65"/>
  <c r="B38" i="65"/>
  <c r="B49" i="65"/>
  <c r="D30" i="65"/>
  <c r="D29" i="65"/>
  <c r="D28" i="65"/>
  <c r="D27" i="65"/>
  <c r="D26" i="65"/>
  <c r="D24" i="65"/>
  <c r="D23" i="65"/>
  <c r="D22" i="65"/>
  <c r="D21" i="65"/>
  <c r="D20" i="65"/>
  <c r="D15" i="65"/>
  <c r="D14" i="65"/>
  <c r="D13" i="65"/>
  <c r="D12" i="65"/>
  <c r="D11" i="65"/>
  <c r="D9" i="65"/>
  <c r="D8" i="65"/>
  <c r="D7" i="65"/>
  <c r="D6" i="65"/>
  <c r="D5" i="65"/>
  <c r="D4" i="65"/>
  <c r="D3" i="65"/>
  <c r="B54" i="64"/>
  <c r="B36" i="64"/>
  <c r="B55" i="64"/>
  <c r="B22" i="64"/>
  <c r="B23" i="64"/>
  <c r="B24" i="64"/>
  <c r="B26" i="64"/>
  <c r="B27" i="64"/>
  <c r="B28" i="64"/>
  <c r="B29" i="64"/>
  <c r="Y64" i="47"/>
  <c r="B30" i="64"/>
  <c r="B31" i="64"/>
  <c r="B5" i="64"/>
  <c r="B6" i="64"/>
  <c r="B7" i="64"/>
  <c r="B8" i="64"/>
  <c r="B9" i="64"/>
  <c r="B11" i="64"/>
  <c r="B12" i="64"/>
  <c r="B13" i="64"/>
  <c r="B14" i="64"/>
  <c r="M64" i="47"/>
  <c r="B15" i="64"/>
  <c r="B16" i="64"/>
  <c r="B34" i="64"/>
  <c r="B51" i="64"/>
  <c r="B38" i="64"/>
  <c r="B49" i="64"/>
  <c r="D30" i="64"/>
  <c r="D29" i="64"/>
  <c r="D28" i="64"/>
  <c r="D27" i="64"/>
  <c r="D26" i="64"/>
  <c r="D24" i="64"/>
  <c r="D23" i="64"/>
  <c r="D22" i="64"/>
  <c r="D21" i="64"/>
  <c r="D20" i="64"/>
  <c r="D15" i="64"/>
  <c r="D14" i="64"/>
  <c r="D13" i="64"/>
  <c r="D12" i="64"/>
  <c r="D11" i="64"/>
  <c r="D9" i="64"/>
  <c r="D8" i="64"/>
  <c r="D7" i="64"/>
  <c r="D6" i="64"/>
  <c r="D5" i="64"/>
  <c r="D4" i="64"/>
  <c r="D3" i="64"/>
  <c r="P64" i="47"/>
  <c r="B20" i="57"/>
  <c r="Q64" i="47"/>
  <c r="B21" i="57"/>
  <c r="B22" i="57"/>
  <c r="B23" i="57"/>
  <c r="B24" i="57"/>
  <c r="B26" i="57"/>
  <c r="B27" i="57"/>
  <c r="B28" i="57"/>
  <c r="B29" i="57"/>
  <c r="B30" i="57"/>
  <c r="B31" i="57"/>
  <c r="B64" i="47"/>
  <c r="B3" i="57"/>
  <c r="C64" i="47"/>
  <c r="B4" i="57"/>
  <c r="B5" i="57"/>
  <c r="B6" i="57"/>
  <c r="B7" i="57"/>
  <c r="B8" i="57"/>
  <c r="B9" i="57"/>
  <c r="B11" i="57"/>
  <c r="B12" i="57"/>
  <c r="B13" i="57"/>
  <c r="B14" i="57"/>
  <c r="B15" i="57"/>
  <c r="B16" i="57"/>
  <c r="B34" i="57"/>
  <c r="B36" i="57"/>
  <c r="B38" i="57"/>
  <c r="D3" i="57"/>
  <c r="Z15" i="47"/>
  <c r="Z34" i="47"/>
  <c r="Z52" i="47"/>
  <c r="Z54" i="47"/>
  <c r="Z55" i="47"/>
  <c r="Z59" i="47"/>
  <c r="Z60" i="47"/>
  <c r="Z61" i="47"/>
  <c r="Z62" i="47"/>
  <c r="Z63" i="47"/>
  <c r="N15" i="47"/>
  <c r="N34" i="47"/>
  <c r="N52" i="47"/>
  <c r="N54" i="47"/>
  <c r="N55" i="47"/>
  <c r="N57" i="47"/>
  <c r="N58" i="47"/>
  <c r="N59" i="47"/>
  <c r="N60" i="47"/>
  <c r="N61" i="47"/>
  <c r="N62" i="47"/>
  <c r="N63" i="47"/>
  <c r="A63" i="47"/>
  <c r="A62" i="47"/>
  <c r="A61" i="47"/>
  <c r="A60" i="47"/>
  <c r="A59" i="47"/>
  <c r="A58" i="47"/>
  <c r="A57" i="47"/>
  <c r="A56" i="47"/>
  <c r="A55" i="47"/>
  <c r="A54" i="47"/>
  <c r="A53" i="47"/>
  <c r="A52" i="47"/>
  <c r="A51" i="47"/>
  <c r="A50" i="47"/>
  <c r="A49" i="47"/>
  <c r="A48" i="47"/>
  <c r="A47" i="47"/>
  <c r="A46" i="47"/>
  <c r="A45" i="47"/>
  <c r="A44" i="47"/>
  <c r="A43" i="47"/>
  <c r="A42" i="47"/>
  <c r="A41" i="47"/>
  <c r="A40" i="47"/>
  <c r="A39" i="47"/>
  <c r="A38" i="47"/>
  <c r="A37" i="47"/>
  <c r="A36" i="47"/>
  <c r="A35" i="47"/>
  <c r="A34" i="47"/>
  <c r="A33" i="47"/>
  <c r="A32" i="47"/>
  <c r="A31" i="47"/>
  <c r="A30" i="47"/>
  <c r="A29" i="47"/>
  <c r="A28" i="47"/>
  <c r="A27" i="47"/>
  <c r="A26" i="47"/>
  <c r="A25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A6" i="47"/>
  <c r="A5" i="47"/>
  <c r="A4" i="47"/>
  <c r="W114" i="62"/>
  <c r="W109" i="62"/>
  <c r="W107" i="62"/>
  <c r="W2" i="62"/>
  <c r="W3" i="62"/>
  <c r="W10" i="62"/>
  <c r="W11" i="62"/>
  <c r="W12" i="63"/>
  <c r="W12" i="62"/>
  <c r="W13" i="62"/>
  <c r="W14" i="62"/>
  <c r="W17" i="62"/>
  <c r="W19" i="62"/>
  <c r="W25" i="62"/>
  <c r="W29" i="62"/>
  <c r="W34" i="62"/>
  <c r="W35" i="62"/>
  <c r="W36" i="62"/>
  <c r="W37" i="62"/>
  <c r="W41" i="62"/>
  <c r="W42" i="62"/>
  <c r="W44" i="62"/>
  <c r="W46" i="62"/>
  <c r="W48" i="62"/>
  <c r="W49" i="62"/>
  <c r="W50" i="62"/>
  <c r="W51" i="62"/>
  <c r="W57" i="62"/>
  <c r="W59" i="62"/>
  <c r="W60" i="62"/>
  <c r="W63" i="62"/>
  <c r="W64" i="62"/>
  <c r="W65" i="62"/>
  <c r="W66" i="62"/>
  <c r="W67" i="62"/>
  <c r="W68" i="62"/>
  <c r="W69" i="62"/>
  <c r="W81" i="62"/>
  <c r="W84" i="62"/>
  <c r="W85" i="62"/>
  <c r="W88" i="62"/>
  <c r="W89" i="62"/>
  <c r="W90" i="62"/>
  <c r="W91" i="62"/>
  <c r="W92" i="62"/>
  <c r="W93" i="62"/>
  <c r="W94" i="62"/>
  <c r="W95" i="62"/>
  <c r="W96" i="62"/>
  <c r="W97" i="62"/>
  <c r="W98" i="62"/>
  <c r="W99" i="62"/>
  <c r="W100" i="62"/>
  <c r="W101" i="62"/>
  <c r="W102" i="62"/>
  <c r="W103" i="62"/>
  <c r="W105" i="62"/>
  <c r="W106" i="62"/>
  <c r="W115" i="62"/>
  <c r="AF4" i="47"/>
  <c r="AF5" i="47"/>
  <c r="AF6" i="47"/>
  <c r="AF7" i="47"/>
  <c r="AF8" i="47"/>
  <c r="AF9" i="47"/>
  <c r="AF10" i="47"/>
  <c r="AF11" i="47"/>
  <c r="AF12" i="47"/>
  <c r="AF13" i="47"/>
  <c r="AF14" i="47"/>
  <c r="AF16" i="47"/>
  <c r="AF17" i="47"/>
  <c r="AF18" i="47"/>
  <c r="AF19" i="47"/>
  <c r="AF20" i="47"/>
  <c r="AF21" i="47"/>
  <c r="AF22" i="47"/>
  <c r="AF23" i="47"/>
  <c r="AF24" i="47"/>
  <c r="AF25" i="47"/>
  <c r="AF27" i="47"/>
  <c r="AF28" i="47"/>
  <c r="AF29" i="47"/>
  <c r="AF30" i="47"/>
  <c r="AF31" i="47"/>
  <c r="AF33" i="47"/>
  <c r="AF36" i="47"/>
  <c r="AF37" i="47"/>
  <c r="AF38" i="47"/>
  <c r="AF39" i="47"/>
  <c r="AF40" i="47"/>
  <c r="AF42" i="47"/>
  <c r="AF43" i="47"/>
  <c r="AF44" i="47"/>
  <c r="AF45" i="47"/>
  <c r="AF46" i="47"/>
  <c r="AF47" i="47"/>
  <c r="AF48" i="47"/>
  <c r="AF49" i="47"/>
  <c r="AF50" i="47"/>
  <c r="AF51" i="47"/>
  <c r="AF53" i="47"/>
  <c r="AF56" i="47"/>
  <c r="AF57" i="47"/>
  <c r="AF58" i="47"/>
  <c r="AF59" i="47"/>
  <c r="AF60" i="47"/>
  <c r="AF61" i="47"/>
  <c r="AF62" i="47"/>
  <c r="V115" i="62"/>
  <c r="W115" i="63"/>
  <c r="B114" i="63"/>
  <c r="C114" i="63"/>
  <c r="D114" i="63"/>
  <c r="E114" i="63"/>
  <c r="F114" i="63"/>
  <c r="G114" i="63"/>
  <c r="H114" i="63"/>
  <c r="I114" i="63"/>
  <c r="J114" i="63"/>
  <c r="K114" i="63"/>
  <c r="L114" i="63"/>
  <c r="M114" i="63"/>
  <c r="N114" i="63"/>
  <c r="O114" i="63"/>
  <c r="P114" i="63"/>
  <c r="Q114" i="63"/>
  <c r="R114" i="63"/>
  <c r="S114" i="63"/>
  <c r="T114" i="63"/>
  <c r="U114" i="63"/>
  <c r="B113" i="63"/>
  <c r="C113" i="63"/>
  <c r="D113" i="63"/>
  <c r="E113" i="63"/>
  <c r="F113" i="63"/>
  <c r="G113" i="63"/>
  <c r="H113" i="63"/>
  <c r="I113" i="63"/>
  <c r="J113" i="63"/>
  <c r="K113" i="63"/>
  <c r="L113" i="63"/>
  <c r="M113" i="63"/>
  <c r="N113" i="63"/>
  <c r="O113" i="63"/>
  <c r="P113" i="63"/>
  <c r="Q113" i="63"/>
  <c r="R113" i="63"/>
  <c r="S113" i="63"/>
  <c r="T113" i="63"/>
  <c r="U113" i="63"/>
  <c r="B112" i="63"/>
  <c r="C112" i="63"/>
  <c r="D112" i="63"/>
  <c r="E112" i="63"/>
  <c r="F112" i="63"/>
  <c r="G112" i="63"/>
  <c r="H112" i="63"/>
  <c r="I112" i="63"/>
  <c r="J112" i="63"/>
  <c r="K112" i="63"/>
  <c r="L112" i="63"/>
  <c r="M112" i="63"/>
  <c r="N112" i="63"/>
  <c r="O112" i="63"/>
  <c r="P112" i="63"/>
  <c r="Q112" i="63"/>
  <c r="R112" i="63"/>
  <c r="S112" i="63"/>
  <c r="T112" i="63"/>
  <c r="U112" i="63"/>
  <c r="B111" i="63"/>
  <c r="C111" i="63"/>
  <c r="D111" i="63"/>
  <c r="E111" i="63"/>
  <c r="F111" i="63"/>
  <c r="G111" i="63"/>
  <c r="H111" i="63"/>
  <c r="I111" i="63"/>
  <c r="J111" i="63"/>
  <c r="K111" i="63"/>
  <c r="L111" i="63"/>
  <c r="M111" i="63"/>
  <c r="N111" i="63"/>
  <c r="O111" i="63"/>
  <c r="P111" i="63"/>
  <c r="Q111" i="63"/>
  <c r="R111" i="63"/>
  <c r="S111" i="63"/>
  <c r="T111" i="63"/>
  <c r="U111" i="63"/>
  <c r="B109" i="63"/>
  <c r="C109" i="63"/>
  <c r="D109" i="63"/>
  <c r="E109" i="63"/>
  <c r="F109" i="63"/>
  <c r="G109" i="63"/>
  <c r="H109" i="63"/>
  <c r="I109" i="63"/>
  <c r="J109" i="63"/>
  <c r="K109" i="63"/>
  <c r="L109" i="63"/>
  <c r="M109" i="63"/>
  <c r="N109" i="63"/>
  <c r="O109" i="63"/>
  <c r="P109" i="63"/>
  <c r="Q109" i="63"/>
  <c r="R109" i="63"/>
  <c r="S109" i="63"/>
  <c r="T109" i="63"/>
  <c r="B110" i="63"/>
  <c r="C110" i="63"/>
  <c r="D110" i="63"/>
  <c r="E110" i="63"/>
  <c r="F110" i="63"/>
  <c r="G110" i="63"/>
  <c r="H110" i="63"/>
  <c r="I110" i="63"/>
  <c r="J110" i="63"/>
  <c r="K110" i="63"/>
  <c r="L110" i="63"/>
  <c r="M110" i="63"/>
  <c r="N110" i="63"/>
  <c r="O110" i="63"/>
  <c r="P110" i="63"/>
  <c r="Q110" i="63"/>
  <c r="R110" i="63"/>
  <c r="S110" i="63"/>
  <c r="T110" i="63"/>
  <c r="U110" i="63"/>
  <c r="U109" i="63"/>
  <c r="B107" i="63"/>
  <c r="C107" i="63"/>
  <c r="D107" i="63"/>
  <c r="E107" i="63"/>
  <c r="F107" i="63"/>
  <c r="G107" i="63"/>
  <c r="H107" i="63"/>
  <c r="I107" i="63"/>
  <c r="J107" i="63"/>
  <c r="K107" i="63"/>
  <c r="L107" i="63"/>
  <c r="M107" i="63"/>
  <c r="N107" i="63"/>
  <c r="O107" i="63"/>
  <c r="P107" i="63"/>
  <c r="Q107" i="63"/>
  <c r="R107" i="63"/>
  <c r="S107" i="63"/>
  <c r="T107" i="63"/>
  <c r="B108" i="63"/>
  <c r="C108" i="63"/>
  <c r="D108" i="63"/>
  <c r="E108" i="63"/>
  <c r="F108" i="63"/>
  <c r="G108" i="63"/>
  <c r="H108" i="63"/>
  <c r="I108" i="63"/>
  <c r="J108" i="63"/>
  <c r="K108" i="63"/>
  <c r="L108" i="63"/>
  <c r="M108" i="63"/>
  <c r="N108" i="63"/>
  <c r="O108" i="63"/>
  <c r="P108" i="63"/>
  <c r="Q108" i="63"/>
  <c r="R108" i="63"/>
  <c r="S108" i="63"/>
  <c r="T108" i="63"/>
  <c r="U108" i="63"/>
  <c r="U107" i="63"/>
  <c r="B106" i="63"/>
  <c r="C106" i="63"/>
  <c r="D106" i="63"/>
  <c r="E106" i="63"/>
  <c r="F106" i="63"/>
  <c r="G106" i="63"/>
  <c r="H106" i="63"/>
  <c r="I106" i="63"/>
  <c r="J106" i="63"/>
  <c r="K106" i="63"/>
  <c r="L106" i="63"/>
  <c r="M106" i="63"/>
  <c r="N106" i="63"/>
  <c r="O106" i="63"/>
  <c r="P106" i="63"/>
  <c r="Q106" i="63"/>
  <c r="R106" i="63"/>
  <c r="S106" i="63"/>
  <c r="T106" i="63"/>
  <c r="U106" i="63"/>
  <c r="B105" i="63"/>
  <c r="C105" i="63"/>
  <c r="D105" i="63"/>
  <c r="E105" i="63"/>
  <c r="F105" i="63"/>
  <c r="G105" i="63"/>
  <c r="H105" i="63"/>
  <c r="I105" i="63"/>
  <c r="J105" i="63"/>
  <c r="K105" i="63"/>
  <c r="L105" i="63"/>
  <c r="M105" i="63"/>
  <c r="N105" i="63"/>
  <c r="O105" i="63"/>
  <c r="P105" i="63"/>
  <c r="Q105" i="63"/>
  <c r="R105" i="63"/>
  <c r="S105" i="63"/>
  <c r="T105" i="63"/>
  <c r="U105" i="63"/>
  <c r="B103" i="63"/>
  <c r="C103" i="63"/>
  <c r="D103" i="63"/>
  <c r="E103" i="63"/>
  <c r="F103" i="63"/>
  <c r="G103" i="63"/>
  <c r="H103" i="63"/>
  <c r="I103" i="63"/>
  <c r="J103" i="63"/>
  <c r="K103" i="63"/>
  <c r="L103" i="63"/>
  <c r="M103" i="63"/>
  <c r="N103" i="63"/>
  <c r="O103" i="63"/>
  <c r="P103" i="63"/>
  <c r="Q103" i="63"/>
  <c r="R103" i="63"/>
  <c r="S103" i="63"/>
  <c r="T103" i="63"/>
  <c r="B104" i="63"/>
  <c r="C104" i="63"/>
  <c r="D104" i="63"/>
  <c r="E104" i="63"/>
  <c r="F104" i="63"/>
  <c r="G104" i="63"/>
  <c r="H104" i="63"/>
  <c r="I104" i="63"/>
  <c r="J104" i="63"/>
  <c r="K104" i="63"/>
  <c r="L104" i="63"/>
  <c r="M104" i="63"/>
  <c r="N104" i="63"/>
  <c r="O104" i="63"/>
  <c r="P104" i="63"/>
  <c r="Q104" i="63"/>
  <c r="R104" i="63"/>
  <c r="S104" i="63"/>
  <c r="T104" i="63"/>
  <c r="U104" i="63"/>
  <c r="U103" i="63"/>
  <c r="B102" i="63"/>
  <c r="C102" i="63"/>
  <c r="D102" i="63"/>
  <c r="E102" i="63"/>
  <c r="F102" i="63"/>
  <c r="G102" i="63"/>
  <c r="H102" i="63"/>
  <c r="I102" i="63"/>
  <c r="J102" i="63"/>
  <c r="K102" i="63"/>
  <c r="L102" i="63"/>
  <c r="M102" i="63"/>
  <c r="N102" i="63"/>
  <c r="O102" i="63"/>
  <c r="P102" i="63"/>
  <c r="Q102" i="63"/>
  <c r="R102" i="63"/>
  <c r="S102" i="63"/>
  <c r="T102" i="63"/>
  <c r="U102" i="63"/>
  <c r="B101" i="63"/>
  <c r="C101" i="63"/>
  <c r="D101" i="63"/>
  <c r="E101" i="63"/>
  <c r="F101" i="63"/>
  <c r="G101" i="63"/>
  <c r="H101" i="63"/>
  <c r="I101" i="63"/>
  <c r="J101" i="63"/>
  <c r="K101" i="63"/>
  <c r="L101" i="63"/>
  <c r="M101" i="63"/>
  <c r="N101" i="63"/>
  <c r="O101" i="63"/>
  <c r="P101" i="63"/>
  <c r="Q101" i="63"/>
  <c r="R101" i="63"/>
  <c r="S101" i="63"/>
  <c r="T101" i="63"/>
  <c r="U101" i="63"/>
  <c r="B100" i="63"/>
  <c r="C100" i="63"/>
  <c r="D100" i="63"/>
  <c r="E100" i="63"/>
  <c r="F100" i="63"/>
  <c r="G100" i="63"/>
  <c r="H100" i="63"/>
  <c r="I100" i="63"/>
  <c r="J100" i="63"/>
  <c r="K100" i="63"/>
  <c r="L100" i="63"/>
  <c r="M100" i="63"/>
  <c r="N100" i="63"/>
  <c r="O100" i="63"/>
  <c r="P100" i="63"/>
  <c r="Q100" i="63"/>
  <c r="R100" i="63"/>
  <c r="S100" i="63"/>
  <c r="T100" i="63"/>
  <c r="U100" i="63"/>
  <c r="B99" i="63"/>
  <c r="C99" i="63"/>
  <c r="D99" i="63"/>
  <c r="E99" i="63"/>
  <c r="F99" i="63"/>
  <c r="G99" i="63"/>
  <c r="H99" i="63"/>
  <c r="I99" i="63"/>
  <c r="J99" i="63"/>
  <c r="K99" i="63"/>
  <c r="L99" i="63"/>
  <c r="M99" i="63"/>
  <c r="N99" i="63"/>
  <c r="O99" i="63"/>
  <c r="P99" i="63"/>
  <c r="Q99" i="63"/>
  <c r="R99" i="63"/>
  <c r="S99" i="63"/>
  <c r="T99" i="63"/>
  <c r="U99" i="63"/>
  <c r="B98" i="63"/>
  <c r="C98" i="63"/>
  <c r="D98" i="63"/>
  <c r="E98" i="63"/>
  <c r="F98" i="63"/>
  <c r="G98" i="63"/>
  <c r="H98" i="63"/>
  <c r="I98" i="63"/>
  <c r="J98" i="63"/>
  <c r="K98" i="63"/>
  <c r="L98" i="63"/>
  <c r="M98" i="63"/>
  <c r="N98" i="63"/>
  <c r="O98" i="63"/>
  <c r="P98" i="63"/>
  <c r="Q98" i="63"/>
  <c r="R98" i="63"/>
  <c r="S98" i="63"/>
  <c r="T98" i="63"/>
  <c r="U98" i="63"/>
  <c r="B97" i="63"/>
  <c r="C97" i="63"/>
  <c r="D97" i="63"/>
  <c r="E97" i="63"/>
  <c r="F97" i="63"/>
  <c r="G97" i="63"/>
  <c r="H97" i="63"/>
  <c r="I97" i="63"/>
  <c r="J97" i="63"/>
  <c r="K97" i="63"/>
  <c r="L97" i="63"/>
  <c r="M97" i="63"/>
  <c r="N97" i="63"/>
  <c r="O97" i="63"/>
  <c r="P97" i="63"/>
  <c r="Q97" i="63"/>
  <c r="R97" i="63"/>
  <c r="S97" i="63"/>
  <c r="T97" i="63"/>
  <c r="U97" i="63"/>
  <c r="B96" i="63"/>
  <c r="C96" i="63"/>
  <c r="D96" i="63"/>
  <c r="E96" i="63"/>
  <c r="F96" i="63"/>
  <c r="G96" i="63"/>
  <c r="H96" i="63"/>
  <c r="I96" i="63"/>
  <c r="J96" i="63"/>
  <c r="K96" i="63"/>
  <c r="L96" i="63"/>
  <c r="M96" i="63"/>
  <c r="N96" i="63"/>
  <c r="O96" i="63"/>
  <c r="P96" i="63"/>
  <c r="Q96" i="63"/>
  <c r="R96" i="63"/>
  <c r="S96" i="63"/>
  <c r="T96" i="63"/>
  <c r="U96" i="63"/>
  <c r="B95" i="63"/>
  <c r="C95" i="63"/>
  <c r="D95" i="63"/>
  <c r="E95" i="63"/>
  <c r="F95" i="63"/>
  <c r="G95" i="63"/>
  <c r="H95" i="63"/>
  <c r="I95" i="63"/>
  <c r="J95" i="63"/>
  <c r="K95" i="63"/>
  <c r="L95" i="63"/>
  <c r="M95" i="63"/>
  <c r="N95" i="63"/>
  <c r="O95" i="63"/>
  <c r="P95" i="63"/>
  <c r="Q95" i="63"/>
  <c r="R95" i="63"/>
  <c r="S95" i="63"/>
  <c r="T95" i="63"/>
  <c r="U95" i="63"/>
  <c r="B94" i="63"/>
  <c r="C94" i="63"/>
  <c r="D94" i="63"/>
  <c r="E94" i="63"/>
  <c r="F94" i="63"/>
  <c r="G94" i="63"/>
  <c r="H94" i="63"/>
  <c r="I94" i="63"/>
  <c r="J94" i="63"/>
  <c r="K94" i="63"/>
  <c r="L94" i="63"/>
  <c r="M94" i="63"/>
  <c r="N94" i="63"/>
  <c r="O94" i="63"/>
  <c r="P94" i="63"/>
  <c r="Q94" i="63"/>
  <c r="R94" i="63"/>
  <c r="S94" i="63"/>
  <c r="T94" i="63"/>
  <c r="U94" i="63"/>
  <c r="B93" i="63"/>
  <c r="C93" i="63"/>
  <c r="D93" i="63"/>
  <c r="E93" i="63"/>
  <c r="F93" i="63"/>
  <c r="G93" i="63"/>
  <c r="H93" i="63"/>
  <c r="I93" i="63"/>
  <c r="J93" i="63"/>
  <c r="K93" i="63"/>
  <c r="L93" i="63"/>
  <c r="M93" i="63"/>
  <c r="N93" i="63"/>
  <c r="O93" i="63"/>
  <c r="P93" i="63"/>
  <c r="Q93" i="63"/>
  <c r="R93" i="63"/>
  <c r="S93" i="63"/>
  <c r="T93" i="63"/>
  <c r="U93" i="63"/>
  <c r="B92" i="63"/>
  <c r="C92" i="63"/>
  <c r="D92" i="63"/>
  <c r="E92" i="63"/>
  <c r="F92" i="63"/>
  <c r="G92" i="63"/>
  <c r="H92" i="63"/>
  <c r="I92" i="63"/>
  <c r="J92" i="63"/>
  <c r="K92" i="63"/>
  <c r="L92" i="63"/>
  <c r="M92" i="63"/>
  <c r="N92" i="63"/>
  <c r="O92" i="63"/>
  <c r="P92" i="63"/>
  <c r="Q92" i="63"/>
  <c r="R92" i="63"/>
  <c r="S92" i="63"/>
  <c r="T92" i="63"/>
  <c r="U92" i="63"/>
  <c r="B91" i="63"/>
  <c r="C91" i="63"/>
  <c r="D91" i="63"/>
  <c r="E91" i="63"/>
  <c r="F91" i="63"/>
  <c r="G91" i="63"/>
  <c r="H91" i="63"/>
  <c r="I91" i="63"/>
  <c r="J91" i="63"/>
  <c r="K91" i="63"/>
  <c r="L91" i="63"/>
  <c r="M91" i="63"/>
  <c r="N91" i="63"/>
  <c r="O91" i="63"/>
  <c r="P91" i="63"/>
  <c r="Q91" i="63"/>
  <c r="R91" i="63"/>
  <c r="S91" i="63"/>
  <c r="T91" i="63"/>
  <c r="U91" i="63"/>
  <c r="B90" i="63"/>
  <c r="C90" i="63"/>
  <c r="D90" i="63"/>
  <c r="E90" i="63"/>
  <c r="F90" i="63"/>
  <c r="G90" i="63"/>
  <c r="H90" i="63"/>
  <c r="I90" i="63"/>
  <c r="J90" i="63"/>
  <c r="K90" i="63"/>
  <c r="L90" i="63"/>
  <c r="M90" i="63"/>
  <c r="N90" i="63"/>
  <c r="O90" i="63"/>
  <c r="P90" i="63"/>
  <c r="Q90" i="63"/>
  <c r="R90" i="63"/>
  <c r="S90" i="63"/>
  <c r="T90" i="63"/>
  <c r="U90" i="63"/>
  <c r="B89" i="63"/>
  <c r="C89" i="63"/>
  <c r="D89" i="63"/>
  <c r="E89" i="63"/>
  <c r="F89" i="63"/>
  <c r="G89" i="63"/>
  <c r="H89" i="63"/>
  <c r="I89" i="63"/>
  <c r="J89" i="63"/>
  <c r="K89" i="63"/>
  <c r="L89" i="63"/>
  <c r="M89" i="63"/>
  <c r="N89" i="63"/>
  <c r="O89" i="63"/>
  <c r="P89" i="63"/>
  <c r="Q89" i="63"/>
  <c r="R89" i="63"/>
  <c r="S89" i="63"/>
  <c r="T89" i="63"/>
  <c r="U89" i="63"/>
  <c r="B88" i="63"/>
  <c r="C88" i="63"/>
  <c r="D88" i="63"/>
  <c r="E88" i="63"/>
  <c r="F88" i="63"/>
  <c r="G88" i="63"/>
  <c r="H88" i="63"/>
  <c r="I88" i="63"/>
  <c r="J88" i="63"/>
  <c r="K88" i="63"/>
  <c r="L88" i="63"/>
  <c r="M88" i="63"/>
  <c r="N88" i="63"/>
  <c r="O88" i="63"/>
  <c r="P88" i="63"/>
  <c r="Q88" i="63"/>
  <c r="R88" i="63"/>
  <c r="S88" i="63"/>
  <c r="T88" i="63"/>
  <c r="U88" i="63"/>
  <c r="B85" i="63"/>
  <c r="C85" i="63"/>
  <c r="D85" i="63"/>
  <c r="E85" i="63"/>
  <c r="F85" i="63"/>
  <c r="G85" i="63"/>
  <c r="H85" i="63"/>
  <c r="I85" i="63"/>
  <c r="J85" i="63"/>
  <c r="K85" i="63"/>
  <c r="L85" i="63"/>
  <c r="M85" i="63"/>
  <c r="N85" i="63"/>
  <c r="O85" i="63"/>
  <c r="P85" i="63"/>
  <c r="Q85" i="63"/>
  <c r="R85" i="63"/>
  <c r="S85" i="63"/>
  <c r="T85" i="63"/>
  <c r="B86" i="63"/>
  <c r="C86" i="63"/>
  <c r="D86" i="63"/>
  <c r="E86" i="63"/>
  <c r="F86" i="63"/>
  <c r="G86" i="63"/>
  <c r="H86" i="63"/>
  <c r="I86" i="63"/>
  <c r="J86" i="63"/>
  <c r="K86" i="63"/>
  <c r="L86" i="63"/>
  <c r="M86" i="63"/>
  <c r="N86" i="63"/>
  <c r="O86" i="63"/>
  <c r="P86" i="63"/>
  <c r="Q86" i="63"/>
  <c r="R86" i="63"/>
  <c r="S86" i="63"/>
  <c r="T86" i="63"/>
  <c r="U86" i="63"/>
  <c r="B87" i="63"/>
  <c r="C87" i="63"/>
  <c r="D87" i="63"/>
  <c r="E87" i="63"/>
  <c r="F87" i="63"/>
  <c r="G87" i="63"/>
  <c r="H87" i="63"/>
  <c r="I87" i="63"/>
  <c r="J87" i="63"/>
  <c r="K87" i="63"/>
  <c r="L87" i="63"/>
  <c r="M87" i="63"/>
  <c r="N87" i="63"/>
  <c r="O87" i="63"/>
  <c r="P87" i="63"/>
  <c r="Q87" i="63"/>
  <c r="R87" i="63"/>
  <c r="S87" i="63"/>
  <c r="T87" i="63"/>
  <c r="U87" i="63"/>
  <c r="U85" i="63"/>
  <c r="B84" i="63"/>
  <c r="C84" i="63"/>
  <c r="D84" i="63"/>
  <c r="E84" i="63"/>
  <c r="F84" i="63"/>
  <c r="G84" i="63"/>
  <c r="H84" i="63"/>
  <c r="I84" i="63"/>
  <c r="J84" i="63"/>
  <c r="K84" i="63"/>
  <c r="L84" i="63"/>
  <c r="M84" i="63"/>
  <c r="N84" i="63"/>
  <c r="O84" i="63"/>
  <c r="P84" i="63"/>
  <c r="Q84" i="63"/>
  <c r="R84" i="63"/>
  <c r="S84" i="63"/>
  <c r="T84" i="63"/>
  <c r="U84" i="63"/>
  <c r="B82" i="63"/>
  <c r="C82" i="63"/>
  <c r="D82" i="63"/>
  <c r="E82" i="63"/>
  <c r="F82" i="63"/>
  <c r="G82" i="63"/>
  <c r="H82" i="63"/>
  <c r="I82" i="63"/>
  <c r="J82" i="63"/>
  <c r="K82" i="63"/>
  <c r="L82" i="63"/>
  <c r="M82" i="63"/>
  <c r="N82" i="63"/>
  <c r="O82" i="63"/>
  <c r="P82" i="63"/>
  <c r="Q82" i="63"/>
  <c r="R82" i="63"/>
  <c r="S82" i="63"/>
  <c r="T82" i="63"/>
  <c r="B83" i="63"/>
  <c r="C83" i="63"/>
  <c r="D83" i="63"/>
  <c r="E83" i="63"/>
  <c r="F83" i="63"/>
  <c r="G83" i="63"/>
  <c r="H83" i="63"/>
  <c r="I83" i="63"/>
  <c r="J83" i="63"/>
  <c r="K83" i="63"/>
  <c r="L83" i="63"/>
  <c r="M83" i="63"/>
  <c r="N83" i="63"/>
  <c r="O83" i="63"/>
  <c r="P83" i="63"/>
  <c r="Q83" i="63"/>
  <c r="R83" i="63"/>
  <c r="S83" i="63"/>
  <c r="T83" i="63"/>
  <c r="U83" i="63"/>
  <c r="U82" i="63"/>
  <c r="B81" i="63"/>
  <c r="C81" i="63"/>
  <c r="D81" i="63"/>
  <c r="E81" i="63"/>
  <c r="F81" i="63"/>
  <c r="G81" i="63"/>
  <c r="H81" i="63"/>
  <c r="I81" i="63"/>
  <c r="J81" i="63"/>
  <c r="K81" i="63"/>
  <c r="L81" i="63"/>
  <c r="M81" i="63"/>
  <c r="N81" i="63"/>
  <c r="O81" i="63"/>
  <c r="P81" i="63"/>
  <c r="Q81" i="63"/>
  <c r="R81" i="63"/>
  <c r="S81" i="63"/>
  <c r="T81" i="63"/>
  <c r="U81" i="63"/>
  <c r="B69" i="63"/>
  <c r="C69" i="63"/>
  <c r="D69" i="63"/>
  <c r="E69" i="63"/>
  <c r="F69" i="63"/>
  <c r="G69" i="63"/>
  <c r="H69" i="63"/>
  <c r="I69" i="63"/>
  <c r="J69" i="63"/>
  <c r="K69" i="63"/>
  <c r="L69" i="63"/>
  <c r="M69" i="63"/>
  <c r="N69" i="63"/>
  <c r="O69" i="63"/>
  <c r="P69" i="63"/>
  <c r="Q69" i="63"/>
  <c r="R69" i="63"/>
  <c r="S69" i="63"/>
  <c r="T69" i="63"/>
  <c r="B70" i="63"/>
  <c r="C70" i="63"/>
  <c r="D70" i="63"/>
  <c r="E70" i="63"/>
  <c r="F70" i="63"/>
  <c r="G70" i="63"/>
  <c r="H70" i="63"/>
  <c r="I70" i="63"/>
  <c r="J70" i="63"/>
  <c r="K70" i="63"/>
  <c r="L70" i="63"/>
  <c r="M70" i="63"/>
  <c r="N70" i="63"/>
  <c r="O70" i="63"/>
  <c r="P70" i="63"/>
  <c r="Q70" i="63"/>
  <c r="R70" i="63"/>
  <c r="S70" i="63"/>
  <c r="T70" i="63"/>
  <c r="U70" i="63"/>
  <c r="B71" i="63"/>
  <c r="C71" i="63"/>
  <c r="D71" i="63"/>
  <c r="E71" i="63"/>
  <c r="F71" i="63"/>
  <c r="G71" i="63"/>
  <c r="H71" i="63"/>
  <c r="I71" i="63"/>
  <c r="J71" i="63"/>
  <c r="K71" i="63"/>
  <c r="L71" i="63"/>
  <c r="M71" i="63"/>
  <c r="N71" i="63"/>
  <c r="O71" i="63"/>
  <c r="P71" i="63"/>
  <c r="Q71" i="63"/>
  <c r="R71" i="63"/>
  <c r="S71" i="63"/>
  <c r="T71" i="63"/>
  <c r="U71" i="63"/>
  <c r="B72" i="63"/>
  <c r="C72" i="63"/>
  <c r="D72" i="63"/>
  <c r="E72" i="63"/>
  <c r="F72" i="63"/>
  <c r="G72" i="63"/>
  <c r="H72" i="63"/>
  <c r="I72" i="63"/>
  <c r="J72" i="63"/>
  <c r="K72" i="63"/>
  <c r="L72" i="63"/>
  <c r="M72" i="63"/>
  <c r="N72" i="63"/>
  <c r="O72" i="63"/>
  <c r="P72" i="63"/>
  <c r="Q72" i="63"/>
  <c r="R72" i="63"/>
  <c r="S72" i="63"/>
  <c r="T72" i="63"/>
  <c r="U72" i="63"/>
  <c r="B73" i="63"/>
  <c r="C73" i="63"/>
  <c r="D73" i="63"/>
  <c r="E73" i="63"/>
  <c r="F73" i="63"/>
  <c r="G73" i="63"/>
  <c r="H73" i="63"/>
  <c r="I73" i="63"/>
  <c r="J73" i="63"/>
  <c r="K73" i="63"/>
  <c r="L73" i="63"/>
  <c r="M73" i="63"/>
  <c r="N73" i="63"/>
  <c r="O73" i="63"/>
  <c r="P73" i="63"/>
  <c r="Q73" i="63"/>
  <c r="R73" i="63"/>
  <c r="S73" i="63"/>
  <c r="T73" i="63"/>
  <c r="U73" i="63"/>
  <c r="B74" i="63"/>
  <c r="C74" i="63"/>
  <c r="D74" i="63"/>
  <c r="E74" i="63"/>
  <c r="F74" i="63"/>
  <c r="G74" i="63"/>
  <c r="H74" i="63"/>
  <c r="I74" i="63"/>
  <c r="J74" i="63"/>
  <c r="K74" i="63"/>
  <c r="L74" i="63"/>
  <c r="M74" i="63"/>
  <c r="N74" i="63"/>
  <c r="O74" i="63"/>
  <c r="P74" i="63"/>
  <c r="Q74" i="63"/>
  <c r="R74" i="63"/>
  <c r="S74" i="63"/>
  <c r="T74" i="63"/>
  <c r="U74" i="63"/>
  <c r="B75" i="63"/>
  <c r="C75" i="63"/>
  <c r="D75" i="63"/>
  <c r="E75" i="63"/>
  <c r="F75" i="63"/>
  <c r="G75" i="63"/>
  <c r="H75" i="63"/>
  <c r="I75" i="63"/>
  <c r="J75" i="63"/>
  <c r="K75" i="63"/>
  <c r="L75" i="63"/>
  <c r="M75" i="63"/>
  <c r="N75" i="63"/>
  <c r="O75" i="63"/>
  <c r="P75" i="63"/>
  <c r="Q75" i="63"/>
  <c r="R75" i="63"/>
  <c r="S75" i="63"/>
  <c r="T75" i="63"/>
  <c r="U75" i="63"/>
  <c r="B76" i="63"/>
  <c r="C76" i="63"/>
  <c r="D76" i="63"/>
  <c r="E76" i="63"/>
  <c r="F76" i="63"/>
  <c r="G76" i="63"/>
  <c r="H76" i="63"/>
  <c r="I76" i="63"/>
  <c r="J76" i="63"/>
  <c r="K76" i="63"/>
  <c r="L76" i="63"/>
  <c r="M76" i="63"/>
  <c r="N76" i="63"/>
  <c r="O76" i="63"/>
  <c r="P76" i="63"/>
  <c r="Q76" i="63"/>
  <c r="R76" i="63"/>
  <c r="S76" i="63"/>
  <c r="T76" i="63"/>
  <c r="U76" i="63"/>
  <c r="B77" i="63"/>
  <c r="C77" i="63"/>
  <c r="D77" i="63"/>
  <c r="E77" i="63"/>
  <c r="F77" i="63"/>
  <c r="G77" i="63"/>
  <c r="H77" i="63"/>
  <c r="I77" i="63"/>
  <c r="J77" i="63"/>
  <c r="K77" i="63"/>
  <c r="L77" i="63"/>
  <c r="M77" i="63"/>
  <c r="N77" i="63"/>
  <c r="O77" i="63"/>
  <c r="P77" i="63"/>
  <c r="Q77" i="63"/>
  <c r="R77" i="63"/>
  <c r="S77" i="63"/>
  <c r="T77" i="63"/>
  <c r="U77" i="63"/>
  <c r="B78" i="63"/>
  <c r="C78" i="63"/>
  <c r="D78" i="63"/>
  <c r="E78" i="63"/>
  <c r="F78" i="63"/>
  <c r="G78" i="63"/>
  <c r="H78" i="63"/>
  <c r="I78" i="63"/>
  <c r="J78" i="63"/>
  <c r="K78" i="63"/>
  <c r="L78" i="63"/>
  <c r="M78" i="63"/>
  <c r="N78" i="63"/>
  <c r="O78" i="63"/>
  <c r="P78" i="63"/>
  <c r="Q78" i="63"/>
  <c r="R78" i="63"/>
  <c r="S78" i="63"/>
  <c r="T78" i="63"/>
  <c r="U78" i="63"/>
  <c r="B79" i="63"/>
  <c r="C79" i="63"/>
  <c r="D79" i="63"/>
  <c r="E79" i="63"/>
  <c r="F79" i="63"/>
  <c r="G79" i="63"/>
  <c r="H79" i="63"/>
  <c r="I79" i="63"/>
  <c r="J79" i="63"/>
  <c r="K79" i="63"/>
  <c r="L79" i="63"/>
  <c r="M79" i="63"/>
  <c r="N79" i="63"/>
  <c r="O79" i="63"/>
  <c r="P79" i="63"/>
  <c r="Q79" i="63"/>
  <c r="R79" i="63"/>
  <c r="S79" i="63"/>
  <c r="T79" i="63"/>
  <c r="U79" i="63"/>
  <c r="B80" i="63"/>
  <c r="C80" i="63"/>
  <c r="D80" i="63"/>
  <c r="E80" i="63"/>
  <c r="F80" i="63"/>
  <c r="G80" i="63"/>
  <c r="H80" i="63"/>
  <c r="I80" i="63"/>
  <c r="J80" i="63"/>
  <c r="K80" i="63"/>
  <c r="L80" i="63"/>
  <c r="M80" i="63"/>
  <c r="N80" i="63"/>
  <c r="O80" i="63"/>
  <c r="P80" i="63"/>
  <c r="Q80" i="63"/>
  <c r="R80" i="63"/>
  <c r="S80" i="63"/>
  <c r="T80" i="63"/>
  <c r="U80" i="63"/>
  <c r="U69" i="63"/>
  <c r="B68" i="63"/>
  <c r="C68" i="63"/>
  <c r="D68" i="63"/>
  <c r="E68" i="63"/>
  <c r="F68" i="63"/>
  <c r="G68" i="63"/>
  <c r="H68" i="63"/>
  <c r="I68" i="63"/>
  <c r="J68" i="63"/>
  <c r="K68" i="63"/>
  <c r="L68" i="63"/>
  <c r="M68" i="63"/>
  <c r="N68" i="63"/>
  <c r="O68" i="63"/>
  <c r="P68" i="63"/>
  <c r="Q68" i="63"/>
  <c r="R68" i="63"/>
  <c r="S68" i="63"/>
  <c r="T68" i="63"/>
  <c r="U68" i="63"/>
  <c r="B67" i="63"/>
  <c r="C67" i="63"/>
  <c r="D67" i="63"/>
  <c r="E67" i="63"/>
  <c r="F67" i="63"/>
  <c r="G67" i="63"/>
  <c r="H67" i="63"/>
  <c r="I67" i="63"/>
  <c r="J67" i="63"/>
  <c r="K67" i="63"/>
  <c r="L67" i="63"/>
  <c r="M67" i="63"/>
  <c r="N67" i="63"/>
  <c r="O67" i="63"/>
  <c r="P67" i="63"/>
  <c r="Q67" i="63"/>
  <c r="R67" i="63"/>
  <c r="S67" i="63"/>
  <c r="T67" i="63"/>
  <c r="U67" i="63"/>
  <c r="B66" i="63"/>
  <c r="C66" i="63"/>
  <c r="D66" i="63"/>
  <c r="E66" i="63"/>
  <c r="F66" i="63"/>
  <c r="G66" i="63"/>
  <c r="H66" i="63"/>
  <c r="I66" i="63"/>
  <c r="J66" i="63"/>
  <c r="K66" i="63"/>
  <c r="L66" i="63"/>
  <c r="M66" i="63"/>
  <c r="N66" i="63"/>
  <c r="O66" i="63"/>
  <c r="P66" i="63"/>
  <c r="Q66" i="63"/>
  <c r="R66" i="63"/>
  <c r="S66" i="63"/>
  <c r="T66" i="63"/>
  <c r="U66" i="63"/>
  <c r="B65" i="63"/>
  <c r="C65" i="63"/>
  <c r="D65" i="63"/>
  <c r="E65" i="63"/>
  <c r="F65" i="63"/>
  <c r="G65" i="63"/>
  <c r="H65" i="63"/>
  <c r="I65" i="63"/>
  <c r="J65" i="63"/>
  <c r="K65" i="63"/>
  <c r="L65" i="63"/>
  <c r="M65" i="63"/>
  <c r="N65" i="63"/>
  <c r="O65" i="63"/>
  <c r="P65" i="63"/>
  <c r="Q65" i="63"/>
  <c r="R65" i="63"/>
  <c r="S65" i="63"/>
  <c r="T65" i="63"/>
  <c r="U65" i="63"/>
  <c r="B64" i="63"/>
  <c r="C64" i="63"/>
  <c r="D64" i="63"/>
  <c r="E64" i="63"/>
  <c r="F64" i="63"/>
  <c r="G64" i="63"/>
  <c r="H64" i="63"/>
  <c r="I64" i="63"/>
  <c r="J64" i="63"/>
  <c r="K64" i="63"/>
  <c r="L64" i="63"/>
  <c r="M64" i="63"/>
  <c r="N64" i="63"/>
  <c r="O64" i="63"/>
  <c r="P64" i="63"/>
  <c r="Q64" i="63"/>
  <c r="R64" i="63"/>
  <c r="S64" i="63"/>
  <c r="T64" i="63"/>
  <c r="U64" i="63"/>
  <c r="B63" i="63"/>
  <c r="C63" i="63"/>
  <c r="D63" i="63"/>
  <c r="E63" i="63"/>
  <c r="F63" i="63"/>
  <c r="G63" i="63"/>
  <c r="H63" i="63"/>
  <c r="I63" i="63"/>
  <c r="J63" i="63"/>
  <c r="K63" i="63"/>
  <c r="L63" i="63"/>
  <c r="M63" i="63"/>
  <c r="N63" i="63"/>
  <c r="O63" i="63"/>
  <c r="P63" i="63"/>
  <c r="Q63" i="63"/>
  <c r="R63" i="63"/>
  <c r="S63" i="63"/>
  <c r="T63" i="63"/>
  <c r="U63" i="63"/>
  <c r="B60" i="63"/>
  <c r="C60" i="63"/>
  <c r="D60" i="63"/>
  <c r="E60" i="63"/>
  <c r="F60" i="63"/>
  <c r="G60" i="63"/>
  <c r="H60" i="63"/>
  <c r="I60" i="63"/>
  <c r="J60" i="63"/>
  <c r="K60" i="63"/>
  <c r="L60" i="63"/>
  <c r="M60" i="63"/>
  <c r="N60" i="63"/>
  <c r="O60" i="63"/>
  <c r="P60" i="63"/>
  <c r="Q60" i="63"/>
  <c r="R60" i="63"/>
  <c r="S60" i="63"/>
  <c r="T60" i="63"/>
  <c r="B61" i="63"/>
  <c r="C61" i="63"/>
  <c r="D61" i="63"/>
  <c r="E61" i="63"/>
  <c r="F61" i="63"/>
  <c r="G61" i="63"/>
  <c r="H61" i="63"/>
  <c r="I61" i="63"/>
  <c r="J61" i="63"/>
  <c r="K61" i="63"/>
  <c r="L61" i="63"/>
  <c r="M61" i="63"/>
  <c r="N61" i="63"/>
  <c r="O61" i="63"/>
  <c r="P61" i="63"/>
  <c r="Q61" i="63"/>
  <c r="R61" i="63"/>
  <c r="S61" i="63"/>
  <c r="T61" i="63"/>
  <c r="U61" i="63"/>
  <c r="B62" i="63"/>
  <c r="C62" i="63"/>
  <c r="D62" i="63"/>
  <c r="E62" i="63"/>
  <c r="F62" i="63"/>
  <c r="G62" i="63"/>
  <c r="H62" i="63"/>
  <c r="I62" i="63"/>
  <c r="J62" i="63"/>
  <c r="K62" i="63"/>
  <c r="L62" i="63"/>
  <c r="M62" i="63"/>
  <c r="N62" i="63"/>
  <c r="O62" i="63"/>
  <c r="P62" i="63"/>
  <c r="Q62" i="63"/>
  <c r="R62" i="63"/>
  <c r="S62" i="63"/>
  <c r="T62" i="63"/>
  <c r="U62" i="63"/>
  <c r="U60" i="63"/>
  <c r="B59" i="63"/>
  <c r="C59" i="63"/>
  <c r="D59" i="63"/>
  <c r="E59" i="63"/>
  <c r="F59" i="63"/>
  <c r="G59" i="63"/>
  <c r="H59" i="63"/>
  <c r="I59" i="63"/>
  <c r="J59" i="63"/>
  <c r="K59" i="63"/>
  <c r="L59" i="63"/>
  <c r="M59" i="63"/>
  <c r="N59" i="63"/>
  <c r="O59" i="63"/>
  <c r="P59" i="63"/>
  <c r="Q59" i="63"/>
  <c r="R59" i="63"/>
  <c r="S59" i="63"/>
  <c r="T59" i="63"/>
  <c r="U59" i="63"/>
  <c r="B57" i="63"/>
  <c r="C57" i="63"/>
  <c r="D57" i="63"/>
  <c r="E57" i="63"/>
  <c r="F57" i="63"/>
  <c r="G57" i="63"/>
  <c r="H57" i="63"/>
  <c r="I57" i="63"/>
  <c r="J57" i="63"/>
  <c r="K57" i="63"/>
  <c r="L57" i="63"/>
  <c r="M57" i="63"/>
  <c r="N57" i="63"/>
  <c r="O57" i="63"/>
  <c r="P57" i="63"/>
  <c r="Q57" i="63"/>
  <c r="R57" i="63"/>
  <c r="S57" i="63"/>
  <c r="T57" i="63"/>
  <c r="B58" i="63"/>
  <c r="C58" i="63"/>
  <c r="D58" i="63"/>
  <c r="E58" i="63"/>
  <c r="F58" i="63"/>
  <c r="G58" i="63"/>
  <c r="H58" i="63"/>
  <c r="I58" i="63"/>
  <c r="J58" i="63"/>
  <c r="K58" i="63"/>
  <c r="L58" i="63"/>
  <c r="M58" i="63"/>
  <c r="N58" i="63"/>
  <c r="O58" i="63"/>
  <c r="P58" i="63"/>
  <c r="Q58" i="63"/>
  <c r="R58" i="63"/>
  <c r="S58" i="63"/>
  <c r="T58" i="63"/>
  <c r="U58" i="63"/>
  <c r="U57" i="63"/>
  <c r="B51" i="63"/>
  <c r="C51" i="63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B52" i="63"/>
  <c r="C52" i="63"/>
  <c r="D52" i="63"/>
  <c r="E52" i="63"/>
  <c r="F52" i="63"/>
  <c r="G52" i="63"/>
  <c r="H52" i="63"/>
  <c r="I52" i="63"/>
  <c r="J52" i="63"/>
  <c r="K52" i="63"/>
  <c r="L52" i="63"/>
  <c r="M52" i="63"/>
  <c r="N52" i="63"/>
  <c r="O52" i="63"/>
  <c r="P52" i="63"/>
  <c r="Q52" i="63"/>
  <c r="R52" i="63"/>
  <c r="S52" i="63"/>
  <c r="T52" i="63"/>
  <c r="U52" i="63"/>
  <c r="B53" i="63"/>
  <c r="C53" i="63"/>
  <c r="D53" i="63"/>
  <c r="E53" i="63"/>
  <c r="F53" i="63"/>
  <c r="G53" i="63"/>
  <c r="H53" i="63"/>
  <c r="I53" i="63"/>
  <c r="J53" i="63"/>
  <c r="K53" i="63"/>
  <c r="L53" i="63"/>
  <c r="M53" i="63"/>
  <c r="N53" i="63"/>
  <c r="O53" i="63"/>
  <c r="P53" i="63"/>
  <c r="Q53" i="63"/>
  <c r="R53" i="63"/>
  <c r="S53" i="63"/>
  <c r="T53" i="63"/>
  <c r="U53" i="63"/>
  <c r="B54" i="63"/>
  <c r="C54" i="63"/>
  <c r="D54" i="63"/>
  <c r="E54" i="63"/>
  <c r="F54" i="63"/>
  <c r="G54" i="63"/>
  <c r="H54" i="63"/>
  <c r="I54" i="63"/>
  <c r="J54" i="63"/>
  <c r="K54" i="63"/>
  <c r="L54" i="63"/>
  <c r="M54" i="63"/>
  <c r="N54" i="63"/>
  <c r="O54" i="63"/>
  <c r="P54" i="63"/>
  <c r="Q54" i="63"/>
  <c r="R54" i="63"/>
  <c r="S54" i="63"/>
  <c r="T54" i="63"/>
  <c r="U54" i="63"/>
  <c r="B55" i="63"/>
  <c r="C55" i="63"/>
  <c r="D55" i="63"/>
  <c r="E55" i="63"/>
  <c r="F55" i="63"/>
  <c r="G55" i="63"/>
  <c r="H55" i="63"/>
  <c r="I55" i="63"/>
  <c r="J55" i="63"/>
  <c r="K55" i="63"/>
  <c r="L55" i="63"/>
  <c r="M55" i="63"/>
  <c r="N55" i="63"/>
  <c r="O55" i="63"/>
  <c r="P55" i="63"/>
  <c r="Q55" i="63"/>
  <c r="R55" i="63"/>
  <c r="S55" i="63"/>
  <c r="T55" i="63"/>
  <c r="U55" i="63"/>
  <c r="B56" i="63"/>
  <c r="C56" i="63"/>
  <c r="D56" i="63"/>
  <c r="E56" i="63"/>
  <c r="F56" i="63"/>
  <c r="G56" i="63"/>
  <c r="H56" i="63"/>
  <c r="I56" i="63"/>
  <c r="J56" i="63"/>
  <c r="K56" i="63"/>
  <c r="L56" i="63"/>
  <c r="M56" i="63"/>
  <c r="N56" i="63"/>
  <c r="O56" i="63"/>
  <c r="P56" i="63"/>
  <c r="Q56" i="63"/>
  <c r="R56" i="63"/>
  <c r="S56" i="63"/>
  <c r="T56" i="63"/>
  <c r="U56" i="63"/>
  <c r="U51" i="63"/>
  <c r="B50" i="63"/>
  <c r="C50" i="63"/>
  <c r="D50" i="63"/>
  <c r="E50" i="63"/>
  <c r="F50" i="63"/>
  <c r="G50" i="63"/>
  <c r="H50" i="63"/>
  <c r="I50" i="63"/>
  <c r="J50" i="63"/>
  <c r="K50" i="63"/>
  <c r="L50" i="63"/>
  <c r="M50" i="63"/>
  <c r="N50" i="63"/>
  <c r="O50" i="63"/>
  <c r="P50" i="63"/>
  <c r="Q50" i="63"/>
  <c r="R50" i="63"/>
  <c r="S50" i="63"/>
  <c r="T50" i="63"/>
  <c r="U50" i="63"/>
  <c r="B49" i="63"/>
  <c r="C49" i="63"/>
  <c r="D49" i="63"/>
  <c r="E49" i="63"/>
  <c r="F49" i="63"/>
  <c r="G49" i="63"/>
  <c r="H49" i="63"/>
  <c r="I49" i="63"/>
  <c r="J49" i="63"/>
  <c r="K49" i="63"/>
  <c r="L49" i="63"/>
  <c r="M49" i="63"/>
  <c r="N49" i="63"/>
  <c r="O49" i="63"/>
  <c r="P49" i="63"/>
  <c r="Q49" i="63"/>
  <c r="R49" i="63"/>
  <c r="S49" i="63"/>
  <c r="T49" i="63"/>
  <c r="U49" i="63"/>
  <c r="B48" i="63"/>
  <c r="C48" i="63"/>
  <c r="D48" i="63"/>
  <c r="E48" i="63"/>
  <c r="F48" i="63"/>
  <c r="G48" i="63"/>
  <c r="H48" i="63"/>
  <c r="I48" i="63"/>
  <c r="J48" i="63"/>
  <c r="K48" i="63"/>
  <c r="L48" i="63"/>
  <c r="M48" i="63"/>
  <c r="N48" i="63"/>
  <c r="O48" i="63"/>
  <c r="P48" i="63"/>
  <c r="Q48" i="63"/>
  <c r="R48" i="63"/>
  <c r="S48" i="63"/>
  <c r="T48" i="63"/>
  <c r="U48" i="63"/>
  <c r="B46" i="63"/>
  <c r="C46" i="63"/>
  <c r="D46" i="63"/>
  <c r="E46" i="63"/>
  <c r="F46" i="63"/>
  <c r="G46" i="63"/>
  <c r="H46" i="63"/>
  <c r="I46" i="63"/>
  <c r="J46" i="63"/>
  <c r="K46" i="63"/>
  <c r="L46" i="63"/>
  <c r="M46" i="63"/>
  <c r="N46" i="63"/>
  <c r="O46" i="63"/>
  <c r="P46" i="63"/>
  <c r="Q46" i="63"/>
  <c r="R46" i="63"/>
  <c r="S46" i="63"/>
  <c r="T46" i="63"/>
  <c r="B47" i="63"/>
  <c r="C47" i="63"/>
  <c r="D47" i="63"/>
  <c r="E47" i="63"/>
  <c r="F47" i="63"/>
  <c r="G47" i="63"/>
  <c r="H47" i="63"/>
  <c r="I47" i="63"/>
  <c r="J47" i="63"/>
  <c r="K47" i="63"/>
  <c r="L47" i="63"/>
  <c r="M47" i="63"/>
  <c r="N47" i="63"/>
  <c r="O47" i="63"/>
  <c r="P47" i="63"/>
  <c r="Q47" i="63"/>
  <c r="R47" i="63"/>
  <c r="S47" i="63"/>
  <c r="T47" i="63"/>
  <c r="U47" i="63"/>
  <c r="U46" i="63"/>
  <c r="B44" i="63"/>
  <c r="C44" i="63"/>
  <c r="D44" i="63"/>
  <c r="E44" i="63"/>
  <c r="F44" i="63"/>
  <c r="G44" i="63"/>
  <c r="H44" i="63"/>
  <c r="I44" i="63"/>
  <c r="J44" i="63"/>
  <c r="K44" i="63"/>
  <c r="L44" i="63"/>
  <c r="M44" i="63"/>
  <c r="N44" i="63"/>
  <c r="O44" i="63"/>
  <c r="P44" i="63"/>
  <c r="Q44" i="63"/>
  <c r="R44" i="63"/>
  <c r="S44" i="63"/>
  <c r="T44" i="63"/>
  <c r="B45" i="63"/>
  <c r="C45" i="63"/>
  <c r="D45" i="63"/>
  <c r="E45" i="63"/>
  <c r="F45" i="63"/>
  <c r="G45" i="63"/>
  <c r="H45" i="63"/>
  <c r="I45" i="63"/>
  <c r="J45" i="63"/>
  <c r="K45" i="63"/>
  <c r="L45" i="63"/>
  <c r="M45" i="63"/>
  <c r="N45" i="63"/>
  <c r="O45" i="63"/>
  <c r="P45" i="63"/>
  <c r="Q45" i="63"/>
  <c r="R45" i="63"/>
  <c r="S45" i="63"/>
  <c r="T45" i="63"/>
  <c r="U45" i="63"/>
  <c r="U44" i="63"/>
  <c r="B42" i="63"/>
  <c r="C42" i="63"/>
  <c r="D42" i="63"/>
  <c r="E42" i="63"/>
  <c r="F42" i="63"/>
  <c r="G42" i="63"/>
  <c r="H42" i="63"/>
  <c r="I42" i="63"/>
  <c r="J42" i="63"/>
  <c r="K42" i="63"/>
  <c r="L42" i="63"/>
  <c r="M42" i="63"/>
  <c r="N42" i="63"/>
  <c r="O42" i="63"/>
  <c r="P42" i="63"/>
  <c r="Q42" i="63"/>
  <c r="R42" i="63"/>
  <c r="S42" i="63"/>
  <c r="T42" i="63"/>
  <c r="B43" i="63"/>
  <c r="C43" i="63"/>
  <c r="D43" i="63"/>
  <c r="E43" i="63"/>
  <c r="F43" i="63"/>
  <c r="G43" i="63"/>
  <c r="H43" i="63"/>
  <c r="I43" i="63"/>
  <c r="J43" i="63"/>
  <c r="K43" i="63"/>
  <c r="L43" i="63"/>
  <c r="M43" i="63"/>
  <c r="N43" i="63"/>
  <c r="O43" i="63"/>
  <c r="P43" i="63"/>
  <c r="Q43" i="63"/>
  <c r="R43" i="63"/>
  <c r="S43" i="63"/>
  <c r="T43" i="63"/>
  <c r="U43" i="63"/>
  <c r="U42" i="63"/>
  <c r="B41" i="63"/>
  <c r="C41" i="63"/>
  <c r="D41" i="63"/>
  <c r="E41" i="63"/>
  <c r="F41" i="63"/>
  <c r="G41" i="63"/>
  <c r="H41" i="63"/>
  <c r="I41" i="63"/>
  <c r="J41" i="63"/>
  <c r="K41" i="63"/>
  <c r="L41" i="63"/>
  <c r="M41" i="63"/>
  <c r="N41" i="63"/>
  <c r="O41" i="63"/>
  <c r="P41" i="63"/>
  <c r="Q41" i="63"/>
  <c r="R41" i="63"/>
  <c r="S41" i="63"/>
  <c r="T41" i="63"/>
  <c r="U41" i="63"/>
  <c r="B37" i="63"/>
  <c r="C37" i="63"/>
  <c r="D37" i="63"/>
  <c r="E37" i="63"/>
  <c r="F37" i="63"/>
  <c r="G37" i="63"/>
  <c r="H37" i="63"/>
  <c r="I37" i="63"/>
  <c r="J37" i="63"/>
  <c r="K37" i="63"/>
  <c r="L37" i="63"/>
  <c r="M37" i="63"/>
  <c r="N37" i="63"/>
  <c r="O37" i="63"/>
  <c r="P37" i="63"/>
  <c r="Q37" i="63"/>
  <c r="R37" i="63"/>
  <c r="S37" i="63"/>
  <c r="T37" i="63"/>
  <c r="B38" i="63"/>
  <c r="C38" i="63"/>
  <c r="D38" i="63"/>
  <c r="E38" i="63"/>
  <c r="F38" i="63"/>
  <c r="G38" i="63"/>
  <c r="H38" i="63"/>
  <c r="I38" i="63"/>
  <c r="J38" i="63"/>
  <c r="K38" i="63"/>
  <c r="L38" i="63"/>
  <c r="M38" i="63"/>
  <c r="N38" i="63"/>
  <c r="O38" i="63"/>
  <c r="P38" i="63"/>
  <c r="Q38" i="63"/>
  <c r="R38" i="63"/>
  <c r="S38" i="63"/>
  <c r="T38" i="63"/>
  <c r="U38" i="63"/>
  <c r="B39" i="63"/>
  <c r="C39" i="63"/>
  <c r="D39" i="63"/>
  <c r="E39" i="63"/>
  <c r="F39" i="63"/>
  <c r="G39" i="63"/>
  <c r="H39" i="63"/>
  <c r="I39" i="63"/>
  <c r="J39" i="63"/>
  <c r="K39" i="63"/>
  <c r="L39" i="63"/>
  <c r="M39" i="63"/>
  <c r="N39" i="63"/>
  <c r="O39" i="63"/>
  <c r="P39" i="63"/>
  <c r="Q39" i="63"/>
  <c r="R39" i="63"/>
  <c r="S39" i="63"/>
  <c r="T39" i="63"/>
  <c r="U39" i="63"/>
  <c r="B40" i="63"/>
  <c r="C40" i="63"/>
  <c r="D40" i="63"/>
  <c r="E40" i="63"/>
  <c r="F40" i="63"/>
  <c r="G40" i="63"/>
  <c r="H40" i="63"/>
  <c r="I40" i="63"/>
  <c r="J40" i="63"/>
  <c r="K40" i="63"/>
  <c r="L40" i="63"/>
  <c r="M40" i="63"/>
  <c r="N40" i="63"/>
  <c r="O40" i="63"/>
  <c r="P40" i="63"/>
  <c r="Q40" i="63"/>
  <c r="R40" i="63"/>
  <c r="S40" i="63"/>
  <c r="T40" i="63"/>
  <c r="U40" i="63"/>
  <c r="U37" i="63"/>
  <c r="B36" i="63"/>
  <c r="C36" i="63"/>
  <c r="D36" i="63"/>
  <c r="E36" i="63"/>
  <c r="F36" i="63"/>
  <c r="G36" i="63"/>
  <c r="H36" i="63"/>
  <c r="I36" i="63"/>
  <c r="J36" i="63"/>
  <c r="K36" i="63"/>
  <c r="L36" i="63"/>
  <c r="M36" i="63"/>
  <c r="N36" i="63"/>
  <c r="O36" i="63"/>
  <c r="P36" i="63"/>
  <c r="Q36" i="63"/>
  <c r="R36" i="63"/>
  <c r="S36" i="63"/>
  <c r="T36" i="63"/>
  <c r="U36" i="63"/>
  <c r="B35" i="63"/>
  <c r="C35" i="63"/>
  <c r="D35" i="63"/>
  <c r="E35" i="63"/>
  <c r="F35" i="63"/>
  <c r="G35" i="63"/>
  <c r="H35" i="63"/>
  <c r="I35" i="63"/>
  <c r="J35" i="63"/>
  <c r="K35" i="63"/>
  <c r="L35" i="63"/>
  <c r="M35" i="63"/>
  <c r="N35" i="63"/>
  <c r="O35" i="63"/>
  <c r="P35" i="63"/>
  <c r="Q35" i="63"/>
  <c r="R35" i="63"/>
  <c r="S35" i="63"/>
  <c r="T35" i="63"/>
  <c r="U35" i="63"/>
  <c r="B34" i="63"/>
  <c r="C34" i="63"/>
  <c r="D34" i="63"/>
  <c r="E34" i="63"/>
  <c r="F34" i="63"/>
  <c r="G34" i="63"/>
  <c r="H34" i="63"/>
  <c r="I34" i="63"/>
  <c r="J34" i="63"/>
  <c r="K34" i="63"/>
  <c r="L34" i="63"/>
  <c r="M34" i="63"/>
  <c r="N34" i="63"/>
  <c r="O34" i="63"/>
  <c r="P34" i="63"/>
  <c r="Q34" i="63"/>
  <c r="R34" i="63"/>
  <c r="S34" i="63"/>
  <c r="T34" i="63"/>
  <c r="U34" i="63"/>
  <c r="B29" i="63"/>
  <c r="C29" i="63"/>
  <c r="D29" i="63"/>
  <c r="E29" i="63"/>
  <c r="F29" i="63"/>
  <c r="G29" i="63"/>
  <c r="H29" i="63"/>
  <c r="I29" i="63"/>
  <c r="J29" i="63"/>
  <c r="K29" i="63"/>
  <c r="L29" i="63"/>
  <c r="M29" i="63"/>
  <c r="N29" i="63"/>
  <c r="O29" i="63"/>
  <c r="P29" i="63"/>
  <c r="Q29" i="63"/>
  <c r="R29" i="63"/>
  <c r="S29" i="63"/>
  <c r="T29" i="63"/>
  <c r="B30" i="63"/>
  <c r="C30" i="63"/>
  <c r="D30" i="63"/>
  <c r="E30" i="63"/>
  <c r="F30" i="63"/>
  <c r="G30" i="63"/>
  <c r="H30" i="63"/>
  <c r="I30" i="63"/>
  <c r="J30" i="63"/>
  <c r="K30" i="63"/>
  <c r="L30" i="63"/>
  <c r="M30" i="63"/>
  <c r="N30" i="63"/>
  <c r="O30" i="63"/>
  <c r="P30" i="63"/>
  <c r="Q30" i="63"/>
  <c r="R30" i="63"/>
  <c r="S30" i="63"/>
  <c r="T30" i="63"/>
  <c r="U30" i="63"/>
  <c r="B31" i="63"/>
  <c r="C31" i="63"/>
  <c r="D31" i="63"/>
  <c r="E31" i="63"/>
  <c r="F31" i="63"/>
  <c r="G31" i="63"/>
  <c r="H31" i="63"/>
  <c r="I31" i="63"/>
  <c r="J31" i="63"/>
  <c r="K31" i="63"/>
  <c r="L31" i="63"/>
  <c r="M31" i="63"/>
  <c r="N31" i="63"/>
  <c r="O31" i="63"/>
  <c r="P31" i="63"/>
  <c r="Q31" i="63"/>
  <c r="R31" i="63"/>
  <c r="S31" i="63"/>
  <c r="T31" i="63"/>
  <c r="U31" i="63"/>
  <c r="B32" i="63"/>
  <c r="C32" i="63"/>
  <c r="D32" i="63"/>
  <c r="E32" i="63"/>
  <c r="F32" i="63"/>
  <c r="G32" i="63"/>
  <c r="H32" i="63"/>
  <c r="I32" i="63"/>
  <c r="J32" i="63"/>
  <c r="K32" i="63"/>
  <c r="L32" i="63"/>
  <c r="M32" i="63"/>
  <c r="N32" i="63"/>
  <c r="O32" i="63"/>
  <c r="P32" i="63"/>
  <c r="Q32" i="63"/>
  <c r="R32" i="63"/>
  <c r="S32" i="63"/>
  <c r="T32" i="63"/>
  <c r="U32" i="63"/>
  <c r="B33" i="63"/>
  <c r="C33" i="63"/>
  <c r="D33" i="63"/>
  <c r="E33" i="63"/>
  <c r="F33" i="63"/>
  <c r="G33" i="63"/>
  <c r="H33" i="63"/>
  <c r="I33" i="63"/>
  <c r="J33" i="63"/>
  <c r="K33" i="63"/>
  <c r="L33" i="63"/>
  <c r="M33" i="63"/>
  <c r="N33" i="63"/>
  <c r="O33" i="63"/>
  <c r="P33" i="63"/>
  <c r="Q33" i="63"/>
  <c r="R33" i="63"/>
  <c r="S33" i="63"/>
  <c r="T33" i="63"/>
  <c r="U33" i="63"/>
  <c r="U29" i="63"/>
  <c r="B25" i="63"/>
  <c r="C25" i="63"/>
  <c r="D25" i="63"/>
  <c r="E25" i="63"/>
  <c r="F25" i="63"/>
  <c r="G25" i="63"/>
  <c r="H25" i="63"/>
  <c r="I25" i="63"/>
  <c r="J25" i="63"/>
  <c r="K25" i="63"/>
  <c r="L25" i="63"/>
  <c r="M25" i="63"/>
  <c r="N25" i="63"/>
  <c r="O25" i="63"/>
  <c r="P25" i="63"/>
  <c r="Q25" i="63"/>
  <c r="R25" i="63"/>
  <c r="S25" i="63"/>
  <c r="T25" i="63"/>
  <c r="B26" i="63"/>
  <c r="C26" i="63"/>
  <c r="D26" i="63"/>
  <c r="E26" i="63"/>
  <c r="F26" i="63"/>
  <c r="G26" i="63"/>
  <c r="H26" i="63"/>
  <c r="I26" i="63"/>
  <c r="J26" i="63"/>
  <c r="K26" i="63"/>
  <c r="L26" i="63"/>
  <c r="M26" i="63"/>
  <c r="N26" i="63"/>
  <c r="O26" i="63"/>
  <c r="P26" i="63"/>
  <c r="Q26" i="63"/>
  <c r="R26" i="63"/>
  <c r="S26" i="63"/>
  <c r="T26" i="63"/>
  <c r="U26" i="63"/>
  <c r="B27" i="63"/>
  <c r="C27" i="63"/>
  <c r="D27" i="63"/>
  <c r="E27" i="63"/>
  <c r="F27" i="63"/>
  <c r="G27" i="63"/>
  <c r="H27" i="63"/>
  <c r="I27" i="63"/>
  <c r="J27" i="63"/>
  <c r="K27" i="63"/>
  <c r="L27" i="63"/>
  <c r="M27" i="63"/>
  <c r="N27" i="63"/>
  <c r="O27" i="63"/>
  <c r="P27" i="63"/>
  <c r="Q27" i="63"/>
  <c r="R27" i="63"/>
  <c r="S27" i="63"/>
  <c r="T27" i="63"/>
  <c r="U27" i="63"/>
  <c r="B28" i="63"/>
  <c r="C28" i="63"/>
  <c r="D28" i="63"/>
  <c r="E28" i="63"/>
  <c r="F28" i="63"/>
  <c r="G28" i="63"/>
  <c r="H28" i="63"/>
  <c r="I28" i="63"/>
  <c r="J28" i="63"/>
  <c r="K28" i="63"/>
  <c r="L28" i="63"/>
  <c r="M28" i="63"/>
  <c r="N28" i="63"/>
  <c r="O28" i="63"/>
  <c r="P28" i="63"/>
  <c r="Q28" i="63"/>
  <c r="R28" i="63"/>
  <c r="S28" i="63"/>
  <c r="T28" i="63"/>
  <c r="U28" i="63"/>
  <c r="U25" i="63"/>
  <c r="B19" i="63"/>
  <c r="C19" i="63"/>
  <c r="D19" i="63"/>
  <c r="E19" i="63"/>
  <c r="F19" i="63"/>
  <c r="G19" i="63"/>
  <c r="H19" i="63"/>
  <c r="I19" i="63"/>
  <c r="J19" i="63"/>
  <c r="K19" i="63"/>
  <c r="L19" i="63"/>
  <c r="M19" i="63"/>
  <c r="N19" i="63"/>
  <c r="O19" i="63"/>
  <c r="P19" i="63"/>
  <c r="Q19" i="63"/>
  <c r="R19" i="63"/>
  <c r="S19" i="63"/>
  <c r="T19" i="63"/>
  <c r="B20" i="63"/>
  <c r="C20" i="63"/>
  <c r="D20" i="63"/>
  <c r="E20" i="63"/>
  <c r="F20" i="63"/>
  <c r="G20" i="63"/>
  <c r="H20" i="63"/>
  <c r="I20" i="63"/>
  <c r="J20" i="63"/>
  <c r="K20" i="63"/>
  <c r="L20" i="63"/>
  <c r="M20" i="63"/>
  <c r="N20" i="63"/>
  <c r="O20" i="63"/>
  <c r="P20" i="63"/>
  <c r="Q20" i="63"/>
  <c r="R20" i="63"/>
  <c r="S20" i="63"/>
  <c r="T20" i="63"/>
  <c r="U20" i="63"/>
  <c r="B21" i="63"/>
  <c r="C21" i="63"/>
  <c r="D21" i="63"/>
  <c r="E21" i="63"/>
  <c r="F21" i="63"/>
  <c r="G21" i="63"/>
  <c r="H21" i="63"/>
  <c r="I21" i="63"/>
  <c r="J21" i="63"/>
  <c r="K21" i="63"/>
  <c r="L21" i="63"/>
  <c r="M21" i="63"/>
  <c r="N21" i="63"/>
  <c r="O21" i="63"/>
  <c r="P21" i="63"/>
  <c r="Q21" i="63"/>
  <c r="R21" i="63"/>
  <c r="S21" i="63"/>
  <c r="T21" i="63"/>
  <c r="U21" i="63"/>
  <c r="B22" i="63"/>
  <c r="C22" i="63"/>
  <c r="D22" i="63"/>
  <c r="E22" i="63"/>
  <c r="F22" i="63"/>
  <c r="G22" i="63"/>
  <c r="H22" i="63"/>
  <c r="I22" i="63"/>
  <c r="J22" i="63"/>
  <c r="K22" i="63"/>
  <c r="L22" i="63"/>
  <c r="M22" i="63"/>
  <c r="N22" i="63"/>
  <c r="O22" i="63"/>
  <c r="P22" i="63"/>
  <c r="Q22" i="63"/>
  <c r="R22" i="63"/>
  <c r="S22" i="63"/>
  <c r="T22" i="63"/>
  <c r="U22" i="63"/>
  <c r="B23" i="63"/>
  <c r="C23" i="63"/>
  <c r="D23" i="63"/>
  <c r="E23" i="63"/>
  <c r="F23" i="63"/>
  <c r="G23" i="63"/>
  <c r="H23" i="63"/>
  <c r="I23" i="63"/>
  <c r="J23" i="63"/>
  <c r="K23" i="63"/>
  <c r="L23" i="63"/>
  <c r="M23" i="63"/>
  <c r="N23" i="63"/>
  <c r="O23" i="63"/>
  <c r="P23" i="63"/>
  <c r="Q23" i="63"/>
  <c r="R23" i="63"/>
  <c r="S23" i="63"/>
  <c r="T23" i="63"/>
  <c r="U23" i="63"/>
  <c r="B24" i="63"/>
  <c r="C24" i="63"/>
  <c r="D24" i="63"/>
  <c r="E24" i="63"/>
  <c r="F24" i="63"/>
  <c r="G24" i="63"/>
  <c r="H24" i="63"/>
  <c r="I24" i="63"/>
  <c r="J24" i="63"/>
  <c r="K24" i="63"/>
  <c r="L24" i="63"/>
  <c r="M24" i="63"/>
  <c r="N24" i="63"/>
  <c r="O24" i="63"/>
  <c r="P24" i="63"/>
  <c r="Q24" i="63"/>
  <c r="R24" i="63"/>
  <c r="S24" i="63"/>
  <c r="T24" i="63"/>
  <c r="U24" i="63"/>
  <c r="U19" i="63"/>
  <c r="B17" i="63"/>
  <c r="C17" i="63"/>
  <c r="D17" i="63"/>
  <c r="E17" i="63"/>
  <c r="F17" i="63"/>
  <c r="G17" i="63"/>
  <c r="H17" i="63"/>
  <c r="I17" i="63"/>
  <c r="J17" i="63"/>
  <c r="K17" i="63"/>
  <c r="L17" i="63"/>
  <c r="M17" i="63"/>
  <c r="N17" i="63"/>
  <c r="O17" i="63"/>
  <c r="P17" i="63"/>
  <c r="Q17" i="63"/>
  <c r="R17" i="63"/>
  <c r="S17" i="63"/>
  <c r="T17" i="63"/>
  <c r="B18" i="63"/>
  <c r="C18" i="63"/>
  <c r="D18" i="63"/>
  <c r="E18" i="63"/>
  <c r="F18" i="63"/>
  <c r="G18" i="63"/>
  <c r="H18" i="63"/>
  <c r="I18" i="63"/>
  <c r="J18" i="63"/>
  <c r="K18" i="63"/>
  <c r="L18" i="63"/>
  <c r="M18" i="63"/>
  <c r="N18" i="63"/>
  <c r="O18" i="63"/>
  <c r="P18" i="63"/>
  <c r="Q18" i="63"/>
  <c r="R18" i="63"/>
  <c r="S18" i="63"/>
  <c r="T18" i="63"/>
  <c r="U18" i="63"/>
  <c r="U17" i="63"/>
  <c r="B14" i="63"/>
  <c r="C14" i="63"/>
  <c r="D14" i="63"/>
  <c r="E14" i="63"/>
  <c r="F14" i="63"/>
  <c r="G14" i="63"/>
  <c r="H14" i="63"/>
  <c r="I14" i="63"/>
  <c r="J14" i="63"/>
  <c r="K14" i="63"/>
  <c r="L14" i="63"/>
  <c r="M14" i="63"/>
  <c r="N14" i="63"/>
  <c r="O14" i="63"/>
  <c r="P14" i="63"/>
  <c r="Q14" i="63"/>
  <c r="R14" i="63"/>
  <c r="S14" i="63"/>
  <c r="T14" i="63"/>
  <c r="B15" i="63"/>
  <c r="C15" i="63"/>
  <c r="D15" i="63"/>
  <c r="E15" i="63"/>
  <c r="F15" i="63"/>
  <c r="G15" i="63"/>
  <c r="H15" i="63"/>
  <c r="I15" i="63"/>
  <c r="J15" i="63"/>
  <c r="K15" i="63"/>
  <c r="L15" i="63"/>
  <c r="M15" i="63"/>
  <c r="N15" i="63"/>
  <c r="O15" i="63"/>
  <c r="P15" i="63"/>
  <c r="Q15" i="63"/>
  <c r="R15" i="63"/>
  <c r="S15" i="63"/>
  <c r="T15" i="63"/>
  <c r="U15" i="63"/>
  <c r="B16" i="63"/>
  <c r="C16" i="63"/>
  <c r="D16" i="63"/>
  <c r="E16" i="63"/>
  <c r="F16" i="63"/>
  <c r="G16" i="63"/>
  <c r="H16" i="63"/>
  <c r="I16" i="63"/>
  <c r="J16" i="63"/>
  <c r="K16" i="63"/>
  <c r="L16" i="63"/>
  <c r="M16" i="63"/>
  <c r="N16" i="63"/>
  <c r="O16" i="63"/>
  <c r="P16" i="63"/>
  <c r="Q16" i="63"/>
  <c r="R16" i="63"/>
  <c r="S16" i="63"/>
  <c r="T16" i="63"/>
  <c r="U16" i="63"/>
  <c r="U14" i="63"/>
  <c r="B13" i="63"/>
  <c r="C13" i="63"/>
  <c r="D13" i="63"/>
  <c r="E13" i="63"/>
  <c r="F13" i="63"/>
  <c r="G13" i="63"/>
  <c r="H13" i="63"/>
  <c r="I13" i="63"/>
  <c r="J13" i="63"/>
  <c r="K13" i="63"/>
  <c r="L13" i="63"/>
  <c r="M13" i="63"/>
  <c r="N13" i="63"/>
  <c r="O13" i="63"/>
  <c r="P13" i="63"/>
  <c r="Q13" i="63"/>
  <c r="R13" i="63"/>
  <c r="S13" i="63"/>
  <c r="T13" i="63"/>
  <c r="U13" i="63"/>
  <c r="B12" i="63"/>
  <c r="C12" i="63"/>
  <c r="D12" i="63"/>
  <c r="E12" i="63"/>
  <c r="F12" i="63"/>
  <c r="G12" i="63"/>
  <c r="H12" i="63"/>
  <c r="I12" i="63"/>
  <c r="J12" i="63"/>
  <c r="K12" i="63"/>
  <c r="L12" i="63"/>
  <c r="M12" i="63"/>
  <c r="N12" i="63"/>
  <c r="O12" i="63"/>
  <c r="P12" i="63"/>
  <c r="Q12" i="63"/>
  <c r="R12" i="63"/>
  <c r="S12" i="63"/>
  <c r="T12" i="63"/>
  <c r="U12" i="63"/>
  <c r="B11" i="63"/>
  <c r="C11" i="63"/>
  <c r="D11" i="63"/>
  <c r="E11" i="63"/>
  <c r="F11" i="63"/>
  <c r="G11" i="63"/>
  <c r="H11" i="63"/>
  <c r="I11" i="63"/>
  <c r="J11" i="63"/>
  <c r="K11" i="63"/>
  <c r="L11" i="63"/>
  <c r="M11" i="63"/>
  <c r="N11" i="63"/>
  <c r="O11" i="63"/>
  <c r="P11" i="63"/>
  <c r="Q11" i="63"/>
  <c r="R11" i="63"/>
  <c r="S11" i="63"/>
  <c r="T11" i="63"/>
  <c r="U11" i="63"/>
  <c r="B10" i="63"/>
  <c r="C10" i="63"/>
  <c r="D10" i="63"/>
  <c r="E10" i="63"/>
  <c r="F10" i="63"/>
  <c r="G10" i="63"/>
  <c r="H10" i="63"/>
  <c r="I10" i="63"/>
  <c r="J10" i="63"/>
  <c r="K10" i="63"/>
  <c r="L10" i="63"/>
  <c r="M10" i="63"/>
  <c r="N10" i="63"/>
  <c r="O10" i="63"/>
  <c r="P10" i="63"/>
  <c r="Q10" i="63"/>
  <c r="R10" i="63"/>
  <c r="S10" i="63"/>
  <c r="T10" i="63"/>
  <c r="U10" i="63"/>
  <c r="B3" i="63"/>
  <c r="C3" i="63"/>
  <c r="D3" i="63"/>
  <c r="E3" i="63"/>
  <c r="F3" i="63"/>
  <c r="G3" i="63"/>
  <c r="H3" i="63"/>
  <c r="I3" i="63"/>
  <c r="J3" i="63"/>
  <c r="K3" i="63"/>
  <c r="L3" i="63"/>
  <c r="M3" i="63"/>
  <c r="N3" i="63"/>
  <c r="O3" i="63"/>
  <c r="P3" i="63"/>
  <c r="Q3" i="63"/>
  <c r="R3" i="63"/>
  <c r="S3" i="63"/>
  <c r="T3" i="63"/>
  <c r="B4" i="63"/>
  <c r="C4" i="63"/>
  <c r="D4" i="63"/>
  <c r="E4" i="63"/>
  <c r="F4" i="63"/>
  <c r="G4" i="63"/>
  <c r="H4" i="63"/>
  <c r="I4" i="63"/>
  <c r="J4" i="63"/>
  <c r="K4" i="63"/>
  <c r="L4" i="63"/>
  <c r="M4" i="63"/>
  <c r="N4" i="63"/>
  <c r="O4" i="63"/>
  <c r="P4" i="63"/>
  <c r="Q4" i="63"/>
  <c r="R4" i="63"/>
  <c r="S4" i="63"/>
  <c r="T4" i="63"/>
  <c r="U4" i="63"/>
  <c r="B5" i="63"/>
  <c r="C5" i="63"/>
  <c r="D5" i="63"/>
  <c r="E5" i="63"/>
  <c r="F5" i="63"/>
  <c r="G5" i="63"/>
  <c r="H5" i="63"/>
  <c r="I5" i="63"/>
  <c r="J5" i="63"/>
  <c r="K5" i="63"/>
  <c r="L5" i="63"/>
  <c r="M5" i="63"/>
  <c r="N5" i="63"/>
  <c r="O5" i="63"/>
  <c r="P5" i="63"/>
  <c r="Q5" i="63"/>
  <c r="R5" i="63"/>
  <c r="S5" i="63"/>
  <c r="T5" i="63"/>
  <c r="U5" i="63"/>
  <c r="B6" i="63"/>
  <c r="C6" i="63"/>
  <c r="D6" i="63"/>
  <c r="E6" i="63"/>
  <c r="F6" i="63"/>
  <c r="G6" i="63"/>
  <c r="H6" i="63"/>
  <c r="I6" i="63"/>
  <c r="J6" i="63"/>
  <c r="K6" i="63"/>
  <c r="L6" i="63"/>
  <c r="M6" i="63"/>
  <c r="N6" i="63"/>
  <c r="O6" i="63"/>
  <c r="P6" i="63"/>
  <c r="Q6" i="63"/>
  <c r="R6" i="63"/>
  <c r="S6" i="63"/>
  <c r="T6" i="63"/>
  <c r="U6" i="63"/>
  <c r="B7" i="63"/>
  <c r="C7" i="63"/>
  <c r="D7" i="63"/>
  <c r="E7" i="63"/>
  <c r="F7" i="63"/>
  <c r="G7" i="63"/>
  <c r="H7" i="63"/>
  <c r="I7" i="63"/>
  <c r="J7" i="63"/>
  <c r="K7" i="63"/>
  <c r="L7" i="63"/>
  <c r="M7" i="63"/>
  <c r="N7" i="63"/>
  <c r="O7" i="63"/>
  <c r="P7" i="63"/>
  <c r="Q7" i="63"/>
  <c r="R7" i="63"/>
  <c r="S7" i="63"/>
  <c r="T7" i="63"/>
  <c r="U7" i="63"/>
  <c r="B8" i="63"/>
  <c r="C8" i="63"/>
  <c r="D8" i="63"/>
  <c r="E8" i="63"/>
  <c r="F8" i="63"/>
  <c r="G8" i="63"/>
  <c r="H8" i="63"/>
  <c r="I8" i="63"/>
  <c r="J8" i="63"/>
  <c r="K8" i="63"/>
  <c r="L8" i="63"/>
  <c r="M8" i="63"/>
  <c r="N8" i="63"/>
  <c r="O8" i="63"/>
  <c r="P8" i="63"/>
  <c r="Q8" i="63"/>
  <c r="R8" i="63"/>
  <c r="S8" i="63"/>
  <c r="T8" i="63"/>
  <c r="U8" i="63"/>
  <c r="B9" i="63"/>
  <c r="C9" i="63"/>
  <c r="D9" i="63"/>
  <c r="E9" i="63"/>
  <c r="F9" i="63"/>
  <c r="G9" i="63"/>
  <c r="H9" i="63"/>
  <c r="I9" i="63"/>
  <c r="J9" i="63"/>
  <c r="K9" i="63"/>
  <c r="L9" i="63"/>
  <c r="M9" i="63"/>
  <c r="N9" i="63"/>
  <c r="O9" i="63"/>
  <c r="P9" i="63"/>
  <c r="Q9" i="63"/>
  <c r="R9" i="63"/>
  <c r="S9" i="63"/>
  <c r="T9" i="63"/>
  <c r="U9" i="63"/>
  <c r="U3" i="63"/>
  <c r="U2" i="63"/>
  <c r="U115" i="63"/>
  <c r="T2" i="63"/>
  <c r="T115" i="63"/>
  <c r="S2" i="63"/>
  <c r="S115" i="63"/>
  <c r="R2" i="63"/>
  <c r="R115" i="63"/>
  <c r="Q2" i="63"/>
  <c r="Q115" i="63"/>
  <c r="P2" i="63"/>
  <c r="P115" i="63"/>
  <c r="O2" i="63"/>
  <c r="O115" i="63"/>
  <c r="N2" i="63"/>
  <c r="N115" i="63"/>
  <c r="M2" i="63"/>
  <c r="M115" i="63"/>
  <c r="L2" i="63"/>
  <c r="L115" i="63"/>
  <c r="K2" i="63"/>
  <c r="K115" i="63"/>
  <c r="J2" i="63"/>
  <c r="J115" i="63"/>
  <c r="I2" i="63"/>
  <c r="I115" i="63"/>
  <c r="H2" i="63"/>
  <c r="H115" i="63"/>
  <c r="G2" i="63"/>
  <c r="G115" i="63"/>
  <c r="F2" i="63"/>
  <c r="F115" i="63"/>
  <c r="E2" i="63"/>
  <c r="E115" i="63"/>
  <c r="D2" i="63"/>
  <c r="D115" i="63"/>
  <c r="C2" i="63"/>
  <c r="C115" i="63"/>
  <c r="B2" i="63"/>
  <c r="B115" i="63"/>
  <c r="Y114" i="63"/>
  <c r="Y113" i="63"/>
  <c r="Y112" i="63"/>
  <c r="Y111" i="63"/>
  <c r="Y110" i="63"/>
  <c r="Y109" i="63"/>
  <c r="Y108" i="63"/>
  <c r="Y107" i="63"/>
  <c r="Y106" i="63"/>
  <c r="Y105" i="63"/>
  <c r="Y104" i="63"/>
  <c r="Y103" i="63"/>
  <c r="Y102" i="63"/>
  <c r="Y101" i="63"/>
  <c r="Y100" i="63"/>
  <c r="Y99" i="63"/>
  <c r="Y98" i="63"/>
  <c r="Y97" i="63"/>
  <c r="Y96" i="63"/>
  <c r="Y95" i="63"/>
  <c r="Y94" i="63"/>
  <c r="Y93" i="63"/>
  <c r="Y92" i="63"/>
  <c r="Y91" i="63"/>
  <c r="Y90" i="63"/>
  <c r="Y89" i="63"/>
  <c r="Y88" i="63"/>
  <c r="Y87" i="63"/>
  <c r="Y86" i="63"/>
  <c r="Y85" i="63"/>
  <c r="Y84" i="63"/>
  <c r="Y83" i="63"/>
  <c r="Y82" i="63"/>
  <c r="Y81" i="63"/>
  <c r="Y80" i="63"/>
  <c r="Y79" i="63"/>
  <c r="Y78" i="63"/>
  <c r="Y77" i="63"/>
  <c r="Y76" i="63"/>
  <c r="Y75" i="63"/>
  <c r="Y74" i="63"/>
  <c r="Y73" i="63"/>
  <c r="Y72" i="63"/>
  <c r="Y71" i="63"/>
  <c r="Y70" i="63"/>
  <c r="Y69" i="63"/>
  <c r="Y68" i="63"/>
  <c r="Y67" i="63"/>
  <c r="Y66" i="63"/>
  <c r="Y65" i="63"/>
  <c r="Y64" i="63"/>
  <c r="Y63" i="63"/>
  <c r="Y62" i="63"/>
  <c r="Y61" i="63"/>
  <c r="Y60" i="63"/>
  <c r="Y59" i="63"/>
  <c r="Y58" i="63"/>
  <c r="Y57" i="63"/>
  <c r="Y56" i="63"/>
  <c r="Y55" i="63"/>
  <c r="Y54" i="63"/>
  <c r="Y53" i="63"/>
  <c r="Y52" i="63"/>
  <c r="Y51" i="63"/>
  <c r="Y50" i="63"/>
  <c r="Y49" i="63"/>
  <c r="Y48" i="63"/>
  <c r="Y47" i="63"/>
  <c r="Y46" i="63"/>
  <c r="Y45" i="63"/>
  <c r="Y44" i="63"/>
  <c r="Y43" i="63"/>
  <c r="Y42" i="63"/>
  <c r="Y41" i="63"/>
  <c r="Y40" i="63"/>
  <c r="Y39" i="63"/>
  <c r="Y38" i="63"/>
  <c r="Y37" i="63"/>
  <c r="Y36" i="63"/>
  <c r="Y35" i="63"/>
  <c r="Y34" i="63"/>
  <c r="Y33" i="63"/>
  <c r="Y32" i="63"/>
  <c r="Y31" i="63"/>
  <c r="Y30" i="63"/>
  <c r="Y29" i="63"/>
  <c r="Y28" i="63"/>
  <c r="Y27" i="63"/>
  <c r="Y26" i="63"/>
  <c r="Y25" i="63"/>
  <c r="Y24" i="63"/>
  <c r="Y23" i="63"/>
  <c r="Y22" i="63"/>
  <c r="Y21" i="63"/>
  <c r="Y20" i="63"/>
  <c r="Y19" i="63"/>
  <c r="Y18" i="63"/>
  <c r="Y17" i="63"/>
  <c r="Y16" i="63"/>
  <c r="Y15" i="63"/>
  <c r="Y14" i="63"/>
  <c r="Y13" i="63"/>
  <c r="Y12" i="63"/>
  <c r="Y11" i="63"/>
  <c r="Y10" i="63"/>
  <c r="Y9" i="63"/>
  <c r="Y8" i="63"/>
  <c r="Y7" i="63"/>
  <c r="Y6" i="63"/>
  <c r="Y5" i="63"/>
  <c r="Y4" i="63"/>
  <c r="Y3" i="63"/>
  <c r="Y2" i="63"/>
  <c r="U51" i="62"/>
  <c r="U52" i="62"/>
  <c r="U53" i="62"/>
  <c r="U54" i="62"/>
  <c r="U55" i="62"/>
  <c r="U56" i="62"/>
  <c r="U34" i="62"/>
  <c r="U65" i="62"/>
  <c r="U67" i="62"/>
  <c r="U68" i="62"/>
  <c r="U88" i="62"/>
  <c r="U98" i="62"/>
  <c r="U99" i="62"/>
  <c r="U100" i="62"/>
  <c r="U101" i="62"/>
  <c r="U104" i="62"/>
  <c r="U114" i="62"/>
  <c r="U115" i="62"/>
  <c r="T115" i="62"/>
  <c r="S115" i="62"/>
  <c r="R115" i="62"/>
  <c r="Q115" i="62"/>
  <c r="P115" i="62"/>
  <c r="O115" i="62"/>
  <c r="N115" i="62"/>
  <c r="M115" i="62"/>
  <c r="L115" i="62"/>
  <c r="K115" i="62"/>
  <c r="J115" i="62"/>
  <c r="I115" i="62"/>
  <c r="H115" i="62"/>
  <c r="G115" i="62"/>
  <c r="F115" i="62"/>
  <c r="E115" i="62"/>
  <c r="D115" i="62"/>
  <c r="C115" i="62"/>
  <c r="B115" i="62"/>
  <c r="AB127" i="58"/>
  <c r="AF127" i="58"/>
  <c r="N53" i="46"/>
  <c r="AB53" i="46"/>
  <c r="AB127" i="46"/>
  <c r="AF127" i="46"/>
  <c r="N4" i="46"/>
  <c r="AB4" i="46"/>
  <c r="N5" i="46"/>
  <c r="AB5" i="46"/>
  <c r="Z6" i="46"/>
  <c r="N6" i="46"/>
  <c r="AB6" i="46"/>
  <c r="N7" i="46"/>
  <c r="AB7" i="46"/>
  <c r="N8" i="46"/>
  <c r="AB8" i="46"/>
  <c r="Z9" i="46"/>
  <c r="N9" i="46"/>
  <c r="AB9" i="46"/>
  <c r="Z10" i="46"/>
  <c r="N10" i="46"/>
  <c r="AB10" i="46"/>
  <c r="Z11" i="46"/>
  <c r="N11" i="46"/>
  <c r="AB11" i="46"/>
  <c r="Z12" i="46"/>
  <c r="N12" i="46"/>
  <c r="AB12" i="46"/>
  <c r="Z13" i="46"/>
  <c r="N13" i="46"/>
  <c r="AB13" i="46"/>
  <c r="N15" i="46"/>
  <c r="AB15" i="46"/>
  <c r="N16" i="46"/>
  <c r="AB16" i="46"/>
  <c r="Z17" i="46"/>
  <c r="C17" i="46"/>
  <c r="D17" i="46"/>
  <c r="H17" i="46"/>
  <c r="N17" i="46"/>
  <c r="AB17" i="46"/>
  <c r="N18" i="46"/>
  <c r="AB18" i="46"/>
  <c r="Z19" i="46"/>
  <c r="N19" i="46"/>
  <c r="AB19" i="46"/>
  <c r="Z20" i="46"/>
  <c r="AB20" i="46"/>
  <c r="Z21" i="46"/>
  <c r="N21" i="46"/>
  <c r="AB21" i="46"/>
  <c r="Z22" i="46"/>
  <c r="N22" i="46"/>
  <c r="AB22" i="46"/>
  <c r="Z23" i="46"/>
  <c r="N23" i="46"/>
  <c r="AB23" i="46"/>
  <c r="N24" i="46"/>
  <c r="AB24" i="46"/>
  <c r="N25" i="46"/>
  <c r="AB25" i="46"/>
  <c r="Z26" i="46"/>
  <c r="N26" i="46"/>
  <c r="AB26" i="46"/>
  <c r="Z27" i="46"/>
  <c r="N27" i="46"/>
  <c r="AB27" i="46"/>
  <c r="Z28" i="46"/>
  <c r="N28" i="46"/>
  <c r="AB28" i="46"/>
  <c r="Z30" i="46"/>
  <c r="N30" i="46"/>
  <c r="AB30" i="46"/>
  <c r="Z31" i="46"/>
  <c r="N31" i="46"/>
  <c r="AB31" i="46"/>
  <c r="N32" i="46"/>
  <c r="AB32" i="46"/>
  <c r="AB33" i="46"/>
  <c r="Z34" i="46"/>
  <c r="N34" i="46"/>
  <c r="AB34" i="46"/>
  <c r="Z35" i="46"/>
  <c r="N35" i="46"/>
  <c r="AB35" i="46"/>
  <c r="Z38" i="46"/>
  <c r="AB38" i="46"/>
  <c r="Z39" i="46"/>
  <c r="AB39" i="46"/>
  <c r="Z41" i="46"/>
  <c r="N41" i="46"/>
  <c r="AB41" i="46"/>
  <c r="Z42" i="46"/>
  <c r="AB42" i="46"/>
  <c r="Z43" i="46"/>
  <c r="N43" i="46"/>
  <c r="AB43" i="46"/>
  <c r="Z44" i="46"/>
  <c r="AB44" i="46"/>
  <c r="Z45" i="46"/>
  <c r="N45" i="46"/>
  <c r="AB45" i="46"/>
  <c r="Z46" i="46"/>
  <c r="N46" i="46"/>
  <c r="AB46" i="46"/>
  <c r="AB47" i="46"/>
  <c r="AB48" i="46"/>
  <c r="Z49" i="46"/>
  <c r="N49" i="46"/>
  <c r="AB49" i="46"/>
  <c r="Z50" i="46"/>
  <c r="N50" i="46"/>
  <c r="AB50" i="46"/>
  <c r="Z51" i="46"/>
  <c r="N51" i="46"/>
  <c r="AB51" i="46"/>
  <c r="AB54" i="46"/>
  <c r="N55" i="46"/>
  <c r="AB55" i="46"/>
  <c r="Z57" i="46"/>
  <c r="AB57" i="46"/>
  <c r="Z59" i="46"/>
  <c r="N59" i="46"/>
  <c r="AB59" i="46"/>
  <c r="AB60" i="46"/>
  <c r="AF60" i="46"/>
  <c r="AF5" i="46"/>
  <c r="AF6" i="46"/>
  <c r="AF7" i="46"/>
  <c r="AF8" i="46"/>
  <c r="AF9" i="46"/>
  <c r="AF10" i="46"/>
  <c r="AF11" i="46"/>
  <c r="AF12" i="46"/>
  <c r="AF13" i="46"/>
  <c r="AF14" i="46"/>
  <c r="AF23" i="46"/>
  <c r="AF29" i="46"/>
  <c r="AF36" i="46"/>
  <c r="AF37" i="46"/>
  <c r="AF43" i="46"/>
  <c r="AF52" i="46"/>
  <c r="AF53" i="46"/>
  <c r="AF56" i="46"/>
  <c r="AF58" i="46"/>
  <c r="AF4" i="46"/>
  <c r="Z5" i="59"/>
  <c r="N5" i="59"/>
  <c r="AB5" i="59"/>
  <c r="AF5" i="59"/>
  <c r="Z6" i="59"/>
  <c r="N6" i="59"/>
  <c r="AB6" i="59"/>
  <c r="AF6" i="59"/>
  <c r="Z7" i="59"/>
  <c r="N7" i="59"/>
  <c r="AB7" i="59"/>
  <c r="AF7" i="59"/>
  <c r="Z8" i="59"/>
  <c r="N8" i="59"/>
  <c r="AB8" i="59"/>
  <c r="AF8" i="59"/>
  <c r="Z9" i="59"/>
  <c r="N9" i="59"/>
  <c r="AB9" i="59"/>
  <c r="AF9" i="59"/>
  <c r="Z10" i="59"/>
  <c r="N10" i="59"/>
  <c r="AB10" i="59"/>
  <c r="AF10" i="59"/>
  <c r="Z11" i="59"/>
  <c r="N11" i="59"/>
  <c r="AB11" i="59"/>
  <c r="AF11" i="59"/>
  <c r="Z19" i="59"/>
  <c r="N19" i="59"/>
  <c r="AB19" i="59"/>
  <c r="AF19" i="59"/>
  <c r="Z27" i="59"/>
  <c r="N27" i="59"/>
  <c r="AB27" i="59"/>
  <c r="AF27" i="59"/>
  <c r="Z35" i="59"/>
  <c r="N35" i="59"/>
  <c r="AB35" i="59"/>
  <c r="AF35" i="59"/>
  <c r="Z43" i="59"/>
  <c r="N43" i="59"/>
  <c r="AB43" i="59"/>
  <c r="AF43" i="59"/>
  <c r="Z51" i="59"/>
  <c r="N51" i="59"/>
  <c r="AB51" i="59"/>
  <c r="AF51" i="59"/>
  <c r="Z52" i="59"/>
  <c r="N52" i="59"/>
  <c r="AB52" i="59"/>
  <c r="AF52" i="59"/>
  <c r="Z4" i="59"/>
  <c r="N4" i="59"/>
  <c r="AB4" i="59"/>
  <c r="AF4" i="59"/>
  <c r="AD53" i="59"/>
  <c r="Z12" i="59"/>
  <c r="N12" i="59"/>
  <c r="AB12" i="59"/>
  <c r="Z13" i="59"/>
  <c r="N13" i="59"/>
  <c r="AB13" i="59"/>
  <c r="Z14" i="59"/>
  <c r="N14" i="59"/>
  <c r="AB14" i="59"/>
  <c r="Z15" i="59"/>
  <c r="N15" i="59"/>
  <c r="AB15" i="59"/>
  <c r="Z16" i="59"/>
  <c r="N16" i="59"/>
  <c r="AB16" i="59"/>
  <c r="Z17" i="59"/>
  <c r="N17" i="59"/>
  <c r="AB17" i="59"/>
  <c r="Z18" i="59"/>
  <c r="N18" i="59"/>
  <c r="AB18" i="59"/>
  <c r="Z20" i="59"/>
  <c r="N20" i="59"/>
  <c r="AB20" i="59"/>
  <c r="Z21" i="59"/>
  <c r="N21" i="59"/>
  <c r="AB21" i="59"/>
  <c r="Z22" i="59"/>
  <c r="N22" i="59"/>
  <c r="AB22" i="59"/>
  <c r="Z23" i="59"/>
  <c r="N23" i="59"/>
  <c r="AB23" i="59"/>
  <c r="Z24" i="59"/>
  <c r="N24" i="59"/>
  <c r="AB24" i="59"/>
  <c r="Z25" i="59"/>
  <c r="N25" i="59"/>
  <c r="AB25" i="59"/>
  <c r="Z26" i="59"/>
  <c r="N26" i="59"/>
  <c r="AB26" i="59"/>
  <c r="Z28" i="59"/>
  <c r="N28" i="59"/>
  <c r="AB28" i="59"/>
  <c r="Z29" i="59"/>
  <c r="N29" i="59"/>
  <c r="AB29" i="59"/>
  <c r="Z30" i="59"/>
  <c r="N30" i="59"/>
  <c r="AB30" i="59"/>
  <c r="Z31" i="59"/>
  <c r="N31" i="59"/>
  <c r="AB31" i="59"/>
  <c r="Z32" i="59"/>
  <c r="N32" i="59"/>
  <c r="AB32" i="59"/>
  <c r="Z33" i="59"/>
  <c r="N33" i="59"/>
  <c r="AB33" i="59"/>
  <c r="Z34" i="59"/>
  <c r="N34" i="59"/>
  <c r="AB34" i="59"/>
  <c r="Z36" i="59"/>
  <c r="N36" i="59"/>
  <c r="AB36" i="59"/>
  <c r="Z37" i="59"/>
  <c r="N37" i="59"/>
  <c r="AB37" i="59"/>
  <c r="Z38" i="59"/>
  <c r="N38" i="59"/>
  <c r="AB38" i="59"/>
  <c r="Z39" i="59"/>
  <c r="N39" i="59"/>
  <c r="AB39" i="59"/>
  <c r="Z40" i="59"/>
  <c r="N40" i="59"/>
  <c r="AB40" i="59"/>
  <c r="Z41" i="59"/>
  <c r="N41" i="59"/>
  <c r="AB41" i="59"/>
  <c r="Z42" i="59"/>
  <c r="N42" i="59"/>
  <c r="AB42" i="59"/>
  <c r="Z44" i="59"/>
  <c r="N44" i="59"/>
  <c r="AB44" i="59"/>
  <c r="Z45" i="59"/>
  <c r="N45" i="59"/>
  <c r="AB45" i="59"/>
  <c r="Z46" i="59"/>
  <c r="N46" i="59"/>
  <c r="AB46" i="59"/>
  <c r="Z47" i="59"/>
  <c r="N47" i="59"/>
  <c r="AB47" i="59"/>
  <c r="Z48" i="59"/>
  <c r="N48" i="59"/>
  <c r="AB48" i="59"/>
  <c r="Z49" i="59"/>
  <c r="N49" i="59"/>
  <c r="AB49" i="59"/>
  <c r="Z50" i="59"/>
  <c r="N50" i="59"/>
  <c r="AB50" i="59"/>
  <c r="AB53" i="59"/>
  <c r="AF53" i="59"/>
  <c r="AF47" i="46"/>
  <c r="AF48" i="46"/>
  <c r="AF26" i="58"/>
  <c r="AF36" i="58"/>
  <c r="AF44" i="58"/>
  <c r="AF18" i="59"/>
  <c r="AF15" i="59"/>
  <c r="AF21" i="59"/>
  <c r="AF30" i="59"/>
  <c r="AF37" i="59"/>
  <c r="AF40" i="59"/>
  <c r="AF41" i="59"/>
  <c r="AF44" i="59"/>
  <c r="AF48" i="59"/>
  <c r="AF13" i="59"/>
  <c r="AF25" i="59"/>
  <c r="AF29" i="59"/>
  <c r="AF33" i="59"/>
  <c r="AF34" i="59"/>
  <c r="AF38" i="59"/>
  <c r="B102" i="59"/>
  <c r="B101" i="59"/>
  <c r="E100" i="59"/>
  <c r="B100" i="59"/>
  <c r="E99" i="59"/>
  <c r="B99" i="59"/>
  <c r="E98" i="59"/>
  <c r="B98" i="59"/>
  <c r="E97" i="59"/>
  <c r="B97" i="59"/>
  <c r="E96" i="59"/>
  <c r="B96" i="59"/>
  <c r="E95" i="59"/>
  <c r="B95" i="59"/>
  <c r="E94" i="59"/>
  <c r="B94" i="59"/>
  <c r="E93" i="59"/>
  <c r="B93" i="59"/>
  <c r="T71" i="59"/>
  <c r="U69" i="59"/>
  <c r="AD54" i="59"/>
  <c r="AA53" i="59"/>
  <c r="AA54" i="59"/>
  <c r="Y53" i="59"/>
  <c r="Y54" i="59"/>
  <c r="X53" i="59"/>
  <c r="X54" i="59"/>
  <c r="W53" i="59"/>
  <c r="W54" i="59"/>
  <c r="V53" i="59"/>
  <c r="V54" i="59"/>
  <c r="U53" i="59"/>
  <c r="U54" i="59"/>
  <c r="T53" i="59"/>
  <c r="T54" i="59"/>
  <c r="S53" i="59"/>
  <c r="S54" i="59"/>
  <c r="R53" i="59"/>
  <c r="R54" i="59"/>
  <c r="Q53" i="59"/>
  <c r="Q54" i="59"/>
  <c r="P53" i="59"/>
  <c r="P54" i="59"/>
  <c r="O53" i="59"/>
  <c r="O54" i="59"/>
  <c r="M53" i="59"/>
  <c r="M54" i="59"/>
  <c r="L53" i="59"/>
  <c r="L54" i="59"/>
  <c r="K53" i="59"/>
  <c r="K54" i="59"/>
  <c r="J53" i="59"/>
  <c r="J54" i="59"/>
  <c r="I53" i="59"/>
  <c r="I54" i="59"/>
  <c r="H53" i="59"/>
  <c r="H54" i="59"/>
  <c r="G53" i="59"/>
  <c r="G54" i="59"/>
  <c r="F53" i="59"/>
  <c r="F54" i="59"/>
  <c r="E53" i="59"/>
  <c r="E54" i="59"/>
  <c r="D53" i="59"/>
  <c r="D54" i="59"/>
  <c r="C53" i="59"/>
  <c r="C54" i="59"/>
  <c r="B53" i="59"/>
  <c r="B54" i="59"/>
  <c r="AF50" i="59"/>
  <c r="V69" i="58"/>
  <c r="T75" i="58"/>
  <c r="U63" i="58"/>
  <c r="V65" i="47"/>
  <c r="O65" i="47"/>
  <c r="AC64" i="47"/>
  <c r="AC65" i="47"/>
  <c r="AA64" i="47"/>
  <c r="AA65" i="47"/>
  <c r="Y65" i="47"/>
  <c r="X65" i="47"/>
  <c r="W65" i="47"/>
  <c r="U65" i="47"/>
  <c r="T65" i="47"/>
  <c r="S65" i="47"/>
  <c r="R65" i="47"/>
  <c r="Q65" i="47"/>
  <c r="P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AF55" i="46"/>
  <c r="H60" i="46"/>
  <c r="H61" i="46"/>
  <c r="B109" i="46"/>
  <c r="B108" i="46"/>
  <c r="E107" i="46"/>
  <c r="B107" i="46"/>
  <c r="E106" i="46"/>
  <c r="B106" i="46"/>
  <c r="E105" i="46"/>
  <c r="B105" i="46"/>
  <c r="E104" i="46"/>
  <c r="B104" i="46"/>
  <c r="E103" i="46"/>
  <c r="B103" i="46"/>
  <c r="E102" i="46"/>
  <c r="B102" i="46"/>
  <c r="E101" i="46"/>
  <c r="B101" i="46"/>
  <c r="E100" i="46"/>
  <c r="B100" i="46"/>
  <c r="T78" i="46"/>
  <c r="U77" i="46"/>
  <c r="V72" i="46"/>
  <c r="AE61" i="46"/>
  <c r="Y60" i="46"/>
  <c r="Y61" i="46"/>
  <c r="X60" i="46"/>
  <c r="X61" i="46"/>
  <c r="W60" i="46"/>
  <c r="W61" i="46"/>
  <c r="V60" i="46"/>
  <c r="V61" i="46"/>
  <c r="U60" i="46"/>
  <c r="U61" i="46"/>
  <c r="T60" i="46"/>
  <c r="T61" i="46"/>
  <c r="S60" i="46"/>
  <c r="S61" i="46"/>
  <c r="R60" i="46"/>
  <c r="R61" i="46"/>
  <c r="Q60" i="46"/>
  <c r="Q61" i="46"/>
  <c r="P60" i="46"/>
  <c r="P61" i="46"/>
  <c r="O60" i="46"/>
  <c r="O61" i="46"/>
  <c r="M60" i="46"/>
  <c r="M61" i="46"/>
  <c r="L60" i="46"/>
  <c r="L61" i="46"/>
  <c r="K60" i="46"/>
  <c r="K61" i="46"/>
  <c r="J60" i="46"/>
  <c r="J61" i="46"/>
  <c r="I60" i="46"/>
  <c r="I61" i="46"/>
  <c r="G60" i="46"/>
  <c r="G61" i="46"/>
  <c r="F60" i="46"/>
  <c r="F61" i="46"/>
  <c r="E60" i="46"/>
  <c r="E61" i="46"/>
  <c r="D60" i="46"/>
  <c r="D61" i="46"/>
  <c r="B60" i="46"/>
  <c r="B61" i="46"/>
  <c r="AF57" i="46"/>
  <c r="N56" i="46"/>
  <c r="AF54" i="46"/>
  <c r="Z52" i="46"/>
  <c r="N52" i="46"/>
  <c r="AF44" i="46"/>
  <c r="AF42" i="46"/>
  <c r="AF39" i="46"/>
  <c r="AF38" i="46"/>
  <c r="N36" i="46"/>
  <c r="AF32" i="46"/>
  <c r="AF24" i="46"/>
  <c r="AF22" i="46"/>
  <c r="AF20" i="46"/>
  <c r="AF18" i="46"/>
  <c r="AF16" i="46"/>
  <c r="AF15" i="46"/>
  <c r="Z14" i="46"/>
  <c r="N14" i="46"/>
  <c r="U75" i="46"/>
  <c r="U69" i="46"/>
  <c r="B106" i="58"/>
  <c r="B105" i="58"/>
  <c r="E104" i="58"/>
  <c r="B104" i="58"/>
  <c r="E103" i="58"/>
  <c r="B103" i="58"/>
  <c r="E102" i="58"/>
  <c r="B102" i="58"/>
  <c r="E101" i="58"/>
  <c r="B101" i="58"/>
  <c r="E100" i="58"/>
  <c r="B100" i="58"/>
  <c r="E99" i="58"/>
  <c r="B99" i="58"/>
  <c r="E98" i="58"/>
  <c r="B98" i="58"/>
  <c r="E97" i="58"/>
  <c r="B97" i="58"/>
  <c r="AC58" i="58"/>
  <c r="AA57" i="58"/>
  <c r="AA58" i="58"/>
  <c r="X58" i="58"/>
  <c r="W58" i="58"/>
  <c r="T58" i="58"/>
  <c r="S58" i="58"/>
  <c r="P58" i="58"/>
  <c r="O57" i="58"/>
  <c r="O58" i="58"/>
  <c r="L58" i="58"/>
  <c r="K58" i="58"/>
  <c r="H58" i="58"/>
  <c r="G58" i="58"/>
  <c r="D58" i="58"/>
  <c r="Y58" i="58"/>
  <c r="V58" i="58"/>
  <c r="U58" i="58"/>
  <c r="R58" i="58"/>
  <c r="Q58" i="58"/>
  <c r="M58" i="58"/>
  <c r="J58" i="58"/>
  <c r="I58" i="58"/>
  <c r="F58" i="58"/>
  <c r="E58" i="58"/>
  <c r="C58" i="58"/>
  <c r="B58" i="58"/>
  <c r="AF55" i="58"/>
  <c r="AF53" i="58"/>
  <c r="AF35" i="58"/>
  <c r="AF34" i="58"/>
  <c r="AF29" i="58"/>
  <c r="AF14" i="58"/>
  <c r="AF4" i="58"/>
  <c r="B15" i="45"/>
  <c r="B33" i="45"/>
  <c r="B15" i="1"/>
  <c r="C15" i="1"/>
  <c r="D15" i="1"/>
  <c r="B30" i="1"/>
  <c r="B33" i="1"/>
  <c r="C30" i="1"/>
  <c r="D30" i="1"/>
  <c r="B3" i="39"/>
  <c r="B4" i="39"/>
  <c r="B15" i="39"/>
  <c r="B30" i="39"/>
  <c r="B33" i="39"/>
  <c r="C4" i="39"/>
  <c r="C15" i="39"/>
  <c r="D15" i="39"/>
  <c r="C30" i="39"/>
  <c r="D30" i="39"/>
  <c r="D33" i="39"/>
  <c r="D40" i="39"/>
  <c r="D38" i="39"/>
  <c r="B48" i="39"/>
  <c r="C48" i="39"/>
  <c r="D48" i="39"/>
  <c r="B50" i="39"/>
  <c r="C50" i="39"/>
  <c r="D50" i="39"/>
  <c r="B15" i="38"/>
  <c r="C15" i="38"/>
  <c r="C30" i="38"/>
  <c r="C33" i="38"/>
  <c r="D15" i="38"/>
  <c r="B30" i="38"/>
  <c r="D30" i="38"/>
  <c r="B15" i="37"/>
  <c r="C15" i="37"/>
  <c r="D15" i="37"/>
  <c r="D19" i="37"/>
  <c r="C20" i="37"/>
  <c r="D20" i="37"/>
  <c r="D29" i="37"/>
  <c r="D30" i="37"/>
  <c r="D33" i="37"/>
  <c r="D37" i="37"/>
  <c r="B20" i="37"/>
  <c r="B28" i="37"/>
  <c r="C28" i="37"/>
  <c r="C29" i="37"/>
  <c r="C30" i="37"/>
  <c r="C33" i="37"/>
  <c r="B47" i="37"/>
  <c r="B42" i="37"/>
  <c r="C47" i="37"/>
  <c r="C42" i="37"/>
  <c r="D47" i="37"/>
  <c r="D42" i="37"/>
  <c r="B15" i="36"/>
  <c r="C15" i="36"/>
  <c r="D15" i="36"/>
  <c r="B19" i="36"/>
  <c r="C19" i="36"/>
  <c r="C20" i="36"/>
  <c r="C25" i="36"/>
  <c r="C26" i="36"/>
  <c r="C30" i="36"/>
  <c r="C33" i="36"/>
  <c r="C35" i="36"/>
  <c r="D19" i="36"/>
  <c r="D20" i="36"/>
  <c r="D22" i="36"/>
  <c r="D25" i="36"/>
  <c r="D26" i="36"/>
  <c r="B20" i="36"/>
  <c r="B23" i="36"/>
  <c r="B25" i="36"/>
  <c r="B15" i="35"/>
  <c r="C15" i="35"/>
  <c r="D15" i="35"/>
  <c r="B30" i="35"/>
  <c r="B33" i="35"/>
  <c r="B37" i="35"/>
  <c r="B47" i="35"/>
  <c r="B49" i="35"/>
  <c r="C30" i="35"/>
  <c r="C33" i="35"/>
  <c r="C37" i="35"/>
  <c r="D30" i="35"/>
  <c r="D33" i="35"/>
  <c r="D37" i="35"/>
  <c r="C47" i="35"/>
  <c r="D47" i="35"/>
  <c r="B3" i="34"/>
  <c r="B4" i="34"/>
  <c r="B15" i="34"/>
  <c r="D4" i="34"/>
  <c r="D15" i="34"/>
  <c r="D30" i="34"/>
  <c r="D33" i="34"/>
  <c r="C15" i="34"/>
  <c r="B30" i="34"/>
  <c r="C30" i="34"/>
  <c r="C33" i="34"/>
  <c r="B15" i="33"/>
  <c r="C15" i="33"/>
  <c r="C23" i="33"/>
  <c r="C30" i="33"/>
  <c r="C33" i="33"/>
  <c r="C42" i="33"/>
  <c r="D15" i="33"/>
  <c r="B23" i="33"/>
  <c r="B30" i="33"/>
  <c r="B33" i="33"/>
  <c r="D30" i="33"/>
  <c r="D33" i="33"/>
  <c r="D35" i="33"/>
  <c r="D42" i="33"/>
  <c r="D49" i="33"/>
  <c r="B42" i="33"/>
  <c r="B47" i="33"/>
  <c r="B2" i="32"/>
  <c r="B3" i="32"/>
  <c r="B15" i="32"/>
  <c r="C3" i="32"/>
  <c r="D3" i="32"/>
  <c r="D7" i="32"/>
  <c r="D14" i="32"/>
  <c r="D15" i="32"/>
  <c r="B30" i="32"/>
  <c r="C30" i="32"/>
  <c r="D30" i="32"/>
  <c r="B15" i="31"/>
  <c r="C15" i="31"/>
  <c r="D15" i="31"/>
  <c r="C19" i="31"/>
  <c r="B20" i="31"/>
  <c r="B30" i="31"/>
  <c r="B33" i="31"/>
  <c r="C20" i="31"/>
  <c r="D20" i="31"/>
  <c r="D22" i="31"/>
  <c r="D25" i="31"/>
  <c r="B3" i="30"/>
  <c r="C3" i="30"/>
  <c r="D3" i="30"/>
  <c r="C4" i="30"/>
  <c r="C15" i="30"/>
  <c r="C30" i="30"/>
  <c r="C33" i="30"/>
  <c r="C37" i="30"/>
  <c r="B15" i="30"/>
  <c r="D15" i="30"/>
  <c r="B30" i="30"/>
  <c r="D30" i="30"/>
  <c r="B47" i="30"/>
  <c r="B48" i="30"/>
  <c r="C47" i="30"/>
  <c r="C48" i="30"/>
  <c r="D47" i="30"/>
  <c r="D48" i="30"/>
  <c r="D33" i="30"/>
  <c r="D37" i="30"/>
  <c r="D49" i="30"/>
  <c r="B15" i="29"/>
  <c r="C15" i="29"/>
  <c r="D15" i="29"/>
  <c r="B30" i="29"/>
  <c r="B33" i="29"/>
  <c r="C30" i="29"/>
  <c r="C33" i="29"/>
  <c r="D30" i="29"/>
  <c r="D33" i="29"/>
  <c r="B15" i="28"/>
  <c r="C15" i="28"/>
  <c r="D15" i="28"/>
  <c r="D25" i="28"/>
  <c r="D26" i="28"/>
  <c r="D30" i="28"/>
  <c r="B30" i="28"/>
  <c r="B33" i="28"/>
  <c r="C30" i="28"/>
  <c r="B5" i="27"/>
  <c r="B15" i="27"/>
  <c r="C5" i="27"/>
  <c r="C15" i="27"/>
  <c r="D15" i="27"/>
  <c r="D19" i="27"/>
  <c r="D30" i="27"/>
  <c r="D33" i="27"/>
  <c r="B30" i="27"/>
  <c r="C30" i="27"/>
  <c r="C33" i="27"/>
  <c r="B2" i="26"/>
  <c r="B3" i="26"/>
  <c r="B4" i="26"/>
  <c r="C4" i="26"/>
  <c r="C15" i="26"/>
  <c r="C30" i="26"/>
  <c r="C33" i="26"/>
  <c r="C35" i="26"/>
  <c r="D4" i="26"/>
  <c r="B13" i="26"/>
  <c r="D15" i="26"/>
  <c r="D30" i="26"/>
  <c r="D33" i="26"/>
  <c r="D35" i="26"/>
  <c r="B30" i="26"/>
  <c r="B15" i="25"/>
  <c r="C15" i="25"/>
  <c r="D15" i="25"/>
  <c r="B30" i="25"/>
  <c r="B33" i="25"/>
  <c r="B35" i="25"/>
  <c r="C30" i="25"/>
  <c r="C33" i="25"/>
  <c r="C35" i="25"/>
  <c r="D30" i="25"/>
  <c r="B2" i="24"/>
  <c r="C2" i="24"/>
  <c r="D2" i="24"/>
  <c r="D3" i="24"/>
  <c r="D4" i="24"/>
  <c r="D6" i="24"/>
  <c r="D7" i="24"/>
  <c r="D8" i="24"/>
  <c r="D13" i="24"/>
  <c r="D15" i="24"/>
  <c r="B3" i="24"/>
  <c r="C3" i="24"/>
  <c r="B4" i="24"/>
  <c r="C4" i="24"/>
  <c r="B6" i="24"/>
  <c r="C6" i="24"/>
  <c r="C7" i="24"/>
  <c r="C8" i="24"/>
  <c r="C13" i="24"/>
  <c r="C15" i="24"/>
  <c r="B7" i="24"/>
  <c r="B8" i="24"/>
  <c r="B13" i="24"/>
  <c r="B19" i="24"/>
  <c r="C19" i="24"/>
  <c r="D19" i="24"/>
  <c r="B20" i="24"/>
  <c r="C20" i="24"/>
  <c r="D20" i="24"/>
  <c r="B22" i="24"/>
  <c r="C22" i="24"/>
  <c r="D22" i="24"/>
  <c r="B23" i="24"/>
  <c r="C23" i="24"/>
  <c r="D23" i="24"/>
  <c r="B25" i="24"/>
  <c r="C25" i="24"/>
  <c r="D25" i="24"/>
  <c r="B26" i="24"/>
  <c r="C26" i="24"/>
  <c r="D26" i="24"/>
  <c r="B28" i="24"/>
  <c r="C28" i="24"/>
  <c r="D28" i="24"/>
  <c r="B35" i="24"/>
  <c r="C35" i="24"/>
  <c r="D35" i="24"/>
  <c r="B43" i="24"/>
  <c r="C43" i="24"/>
  <c r="D43" i="24"/>
  <c r="D2" i="23"/>
  <c r="D3" i="23"/>
  <c r="D4" i="23"/>
  <c r="D15" i="23"/>
  <c r="D30" i="23"/>
  <c r="D33" i="23"/>
  <c r="B3" i="23"/>
  <c r="C8" i="23"/>
  <c r="C15" i="23"/>
  <c r="B15" i="23"/>
  <c r="B30" i="23"/>
  <c r="C30" i="23"/>
  <c r="B15" i="22"/>
  <c r="C15" i="22"/>
  <c r="D15" i="22"/>
  <c r="B30" i="22"/>
  <c r="C30" i="22"/>
  <c r="C33" i="22"/>
  <c r="D30" i="22"/>
  <c r="D33" i="22"/>
  <c r="B33" i="22"/>
  <c r="B15" i="21"/>
  <c r="C15" i="21"/>
  <c r="D15" i="21"/>
  <c r="D30" i="21"/>
  <c r="D33" i="21"/>
  <c r="D37" i="21"/>
  <c r="B30" i="21"/>
  <c r="C30" i="21"/>
  <c r="C33" i="21"/>
  <c r="C37" i="21"/>
  <c r="B47" i="21"/>
  <c r="C47" i="21"/>
  <c r="D47" i="21"/>
  <c r="B15" i="20"/>
  <c r="C15" i="20"/>
  <c r="D15" i="20"/>
  <c r="B30" i="20"/>
  <c r="C30" i="20"/>
  <c r="C33" i="20"/>
  <c r="D30" i="20"/>
  <c r="B33" i="20"/>
  <c r="D33" i="20"/>
  <c r="B15" i="44"/>
  <c r="C15" i="44"/>
  <c r="D15" i="44"/>
  <c r="B30" i="44"/>
  <c r="B33" i="44"/>
  <c r="C30" i="44"/>
  <c r="D30" i="44"/>
  <c r="D33" i="44"/>
  <c r="C33" i="44"/>
  <c r="B15" i="43"/>
  <c r="C15" i="43"/>
  <c r="C30" i="43"/>
  <c r="C33" i="43"/>
  <c r="C37" i="43"/>
  <c r="D15" i="43"/>
  <c r="D23" i="43"/>
  <c r="D30" i="43"/>
  <c r="B30" i="43"/>
  <c r="B33" i="43"/>
  <c r="B37" i="43"/>
  <c r="D33" i="43"/>
  <c r="D37" i="43"/>
  <c r="B30" i="19"/>
  <c r="B33" i="19"/>
  <c r="B35" i="19"/>
  <c r="C30" i="19"/>
  <c r="C33" i="19"/>
  <c r="C35" i="19"/>
  <c r="D30" i="19"/>
  <c r="D33" i="19"/>
  <c r="D35" i="19"/>
  <c r="B47" i="19"/>
  <c r="C47" i="19"/>
  <c r="D47" i="19"/>
  <c r="C2" i="18"/>
  <c r="C3" i="18"/>
  <c r="C4" i="18"/>
  <c r="B15" i="18"/>
  <c r="D15" i="18"/>
  <c r="D19" i="18"/>
  <c r="C23" i="18"/>
  <c r="D23" i="18"/>
  <c r="C25" i="18"/>
  <c r="D25" i="18"/>
  <c r="C26" i="18"/>
  <c r="D26" i="18"/>
  <c r="B28" i="18"/>
  <c r="C28" i="18"/>
  <c r="D28" i="18"/>
  <c r="C29" i="18"/>
  <c r="B30" i="18"/>
  <c r="B33" i="18"/>
  <c r="B37" i="18"/>
  <c r="B47" i="18"/>
  <c r="C47" i="18"/>
  <c r="D47" i="18"/>
  <c r="B3" i="17"/>
  <c r="B15" i="17"/>
  <c r="B30" i="17"/>
  <c r="C15" i="17"/>
  <c r="D15" i="17"/>
  <c r="C30" i="17"/>
  <c r="D30" i="17"/>
  <c r="D33" i="17"/>
  <c r="B15" i="16"/>
  <c r="C15" i="16"/>
  <c r="D15" i="16"/>
  <c r="B30" i="16"/>
  <c r="B33" i="16"/>
  <c r="B35" i="16"/>
  <c r="B47" i="16"/>
  <c r="C30" i="16"/>
  <c r="D30" i="16"/>
  <c r="D33" i="16"/>
  <c r="D35" i="16"/>
  <c r="B15" i="15"/>
  <c r="C15" i="15"/>
  <c r="C30" i="15"/>
  <c r="C33" i="15"/>
  <c r="D15" i="15"/>
  <c r="D30" i="15"/>
  <c r="D33" i="15"/>
  <c r="B30" i="15"/>
  <c r="B15" i="14"/>
  <c r="C15" i="14"/>
  <c r="D15" i="14"/>
  <c r="D30" i="14"/>
  <c r="D33" i="14"/>
  <c r="B25" i="14"/>
  <c r="B26" i="14"/>
  <c r="C30" i="14"/>
  <c r="C33" i="14"/>
  <c r="C37" i="14"/>
  <c r="B42" i="14"/>
  <c r="C42" i="14"/>
  <c r="B47" i="14"/>
  <c r="C47" i="14"/>
  <c r="B3" i="42"/>
  <c r="B4" i="42"/>
  <c r="B13" i="42"/>
  <c r="B15" i="42"/>
  <c r="C4" i="42"/>
  <c r="D4" i="42"/>
  <c r="D15" i="42"/>
  <c r="D30" i="42"/>
  <c r="C13" i="42"/>
  <c r="C15" i="42"/>
  <c r="C30" i="42"/>
  <c r="C33" i="42"/>
  <c r="B30" i="42"/>
  <c r="B39" i="42"/>
  <c r="B53" i="42"/>
  <c r="B45" i="42"/>
  <c r="C39" i="42"/>
  <c r="C53" i="42"/>
  <c r="C45" i="42"/>
  <c r="C57" i="42"/>
  <c r="D39" i="42"/>
  <c r="D53" i="42"/>
  <c r="D45" i="42"/>
  <c r="B46" i="42"/>
  <c r="C46" i="42"/>
  <c r="D46" i="42"/>
  <c r="B47" i="42"/>
  <c r="C47" i="42"/>
  <c r="D47" i="42"/>
  <c r="B15" i="13"/>
  <c r="C15" i="13"/>
  <c r="C30" i="13"/>
  <c r="C33" i="13"/>
  <c r="C37" i="13"/>
  <c r="D15" i="13"/>
  <c r="D30" i="13"/>
  <c r="D33" i="13"/>
  <c r="D37" i="13"/>
  <c r="B30" i="13"/>
  <c r="B33" i="13"/>
  <c r="B37" i="13"/>
  <c r="B2" i="12"/>
  <c r="C2" i="12"/>
  <c r="C3" i="12"/>
  <c r="C4" i="12"/>
  <c r="C5" i="12"/>
  <c r="C6" i="12"/>
  <c r="C7" i="12"/>
  <c r="C8" i="12"/>
  <c r="C9" i="12"/>
  <c r="C10" i="12"/>
  <c r="C11" i="12"/>
  <c r="C12" i="12"/>
  <c r="C13" i="12"/>
  <c r="C15" i="12"/>
  <c r="D2" i="12"/>
  <c r="B3" i="12"/>
  <c r="D3" i="12"/>
  <c r="B4" i="12"/>
  <c r="B5" i="12"/>
  <c r="B6" i="12"/>
  <c r="B7" i="12"/>
  <c r="B8" i="12"/>
  <c r="B9" i="12"/>
  <c r="B10" i="12"/>
  <c r="B11" i="12"/>
  <c r="B12" i="12"/>
  <c r="B13" i="12"/>
  <c r="B15" i="12"/>
  <c r="D4" i="12"/>
  <c r="D5" i="12"/>
  <c r="D6" i="12"/>
  <c r="D7" i="12"/>
  <c r="D8" i="12"/>
  <c r="D9" i="12"/>
  <c r="D10" i="12"/>
  <c r="D11" i="12"/>
  <c r="D12" i="12"/>
  <c r="D13" i="12"/>
  <c r="B19" i="12"/>
  <c r="C19" i="12"/>
  <c r="D19" i="12"/>
  <c r="B20" i="12"/>
  <c r="C20" i="12"/>
  <c r="D20" i="12"/>
  <c r="B21" i="12"/>
  <c r="C21" i="12"/>
  <c r="C22" i="12"/>
  <c r="C23" i="12"/>
  <c r="C24" i="12"/>
  <c r="C25" i="12"/>
  <c r="C26" i="12"/>
  <c r="C27" i="12"/>
  <c r="C28" i="12"/>
  <c r="C29" i="12"/>
  <c r="D21" i="12"/>
  <c r="B22" i="12"/>
  <c r="D22" i="12"/>
  <c r="B23" i="12"/>
  <c r="D23" i="12"/>
  <c r="B24" i="12"/>
  <c r="D24" i="12"/>
  <c r="B25" i="12"/>
  <c r="D25" i="12"/>
  <c r="B26" i="12"/>
  <c r="D26" i="12"/>
  <c r="B27" i="12"/>
  <c r="D27" i="12"/>
  <c r="B28" i="12"/>
  <c r="D28" i="12"/>
  <c r="B29" i="12"/>
  <c r="D29" i="12"/>
  <c r="B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D2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B19" i="11"/>
  <c r="C19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3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5" i="11"/>
  <c r="C35" i="11"/>
  <c r="D35" i="11"/>
  <c r="B37" i="11"/>
  <c r="B50" i="11"/>
  <c r="C37" i="11"/>
  <c r="D37" i="11"/>
  <c r="D50" i="11"/>
  <c r="B42" i="11"/>
  <c r="C42" i="11"/>
  <c r="D42" i="11"/>
  <c r="B15" i="10"/>
  <c r="C15" i="10"/>
  <c r="C30" i="10"/>
  <c r="C33" i="10"/>
  <c r="B30" i="10"/>
  <c r="D30" i="10"/>
  <c r="B33" i="10"/>
  <c r="D2" i="9"/>
  <c r="D3" i="9"/>
  <c r="D4" i="9"/>
  <c r="C7" i="9"/>
  <c r="D7" i="9"/>
  <c r="D8" i="9"/>
  <c r="B15" i="9"/>
  <c r="B30" i="9"/>
  <c r="B33" i="9"/>
  <c r="B39" i="9"/>
  <c r="C15" i="9"/>
  <c r="C30" i="9"/>
  <c r="D30" i="9"/>
  <c r="B35" i="9"/>
  <c r="C35" i="9"/>
  <c r="D35" i="9"/>
  <c r="D44" i="9"/>
  <c r="B44" i="9"/>
  <c r="B30" i="41"/>
  <c r="B33" i="41"/>
  <c r="C30" i="41"/>
  <c r="C33" i="41"/>
  <c r="D30" i="41"/>
  <c r="D33" i="41"/>
  <c r="C4" i="8"/>
  <c r="D4" i="8"/>
  <c r="D13" i="8"/>
  <c r="B15" i="8"/>
  <c r="C15" i="8"/>
  <c r="D15" i="8"/>
  <c r="B30" i="8"/>
  <c r="C30" i="8"/>
  <c r="C33" i="8"/>
  <c r="C37" i="8"/>
  <c r="D30" i="8"/>
  <c r="D33" i="8"/>
  <c r="D37" i="8"/>
  <c r="B33" i="8"/>
  <c r="B37" i="8"/>
  <c r="B43" i="8"/>
  <c r="C43" i="8"/>
  <c r="D43" i="8"/>
  <c r="B47" i="8"/>
  <c r="C47" i="8"/>
  <c r="D47" i="8"/>
  <c r="D2" i="7"/>
  <c r="D3" i="7"/>
  <c r="D4" i="7"/>
  <c r="D7" i="7"/>
  <c r="D15" i="7"/>
  <c r="B12" i="7"/>
  <c r="B15" i="7"/>
  <c r="C15" i="7"/>
  <c r="D19" i="7"/>
  <c r="D20" i="7"/>
  <c r="D22" i="7"/>
  <c r="D27" i="7"/>
  <c r="D28" i="7"/>
  <c r="C25" i="7"/>
  <c r="B27" i="7"/>
  <c r="C27" i="7"/>
  <c r="C28" i="7"/>
  <c r="C30" i="7"/>
  <c r="C33" i="7"/>
  <c r="C37" i="7"/>
  <c r="C47" i="7"/>
  <c r="C49" i="7"/>
  <c r="C51" i="7"/>
  <c r="B30" i="7"/>
  <c r="B47" i="7"/>
  <c r="D54" i="7"/>
  <c r="D47" i="7"/>
  <c r="B2" i="6"/>
  <c r="C2" i="6"/>
  <c r="D2" i="6"/>
  <c r="B3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D3" i="6"/>
  <c r="B4" i="6"/>
  <c r="D4" i="6"/>
  <c r="D5" i="6"/>
  <c r="D6" i="6"/>
  <c r="D7" i="6"/>
  <c r="D8" i="6"/>
  <c r="D9" i="6"/>
  <c r="D10" i="6"/>
  <c r="D11" i="6"/>
  <c r="D12" i="6"/>
  <c r="D13" i="6"/>
  <c r="D14" i="6"/>
  <c r="D15" i="6"/>
  <c r="B5" i="6"/>
  <c r="B6" i="6"/>
  <c r="B7" i="6"/>
  <c r="B8" i="6"/>
  <c r="B9" i="6"/>
  <c r="B10" i="6"/>
  <c r="B11" i="6"/>
  <c r="B12" i="6"/>
  <c r="B13" i="6"/>
  <c r="B14" i="6"/>
  <c r="B19" i="6"/>
  <c r="C19" i="6"/>
  <c r="C20" i="6"/>
  <c r="C21" i="6"/>
  <c r="C22" i="6"/>
  <c r="C23" i="6"/>
  <c r="C24" i="6"/>
  <c r="C25" i="6"/>
  <c r="C26" i="6"/>
  <c r="C27" i="6"/>
  <c r="C28" i="6"/>
  <c r="C29" i="6"/>
  <c r="C30" i="6"/>
  <c r="C33" i="6"/>
  <c r="D19" i="6"/>
  <c r="B20" i="6"/>
  <c r="D20" i="6"/>
  <c r="B21" i="6"/>
  <c r="D21" i="6"/>
  <c r="B22" i="6"/>
  <c r="D22" i="6"/>
  <c r="B23" i="6"/>
  <c r="D23" i="6"/>
  <c r="B24" i="6"/>
  <c r="D24" i="6"/>
  <c r="B25" i="6"/>
  <c r="D25" i="6"/>
  <c r="B26" i="6"/>
  <c r="D26" i="6"/>
  <c r="B27" i="6"/>
  <c r="D27" i="6"/>
  <c r="B28" i="6"/>
  <c r="D28" i="6"/>
  <c r="B29" i="6"/>
  <c r="D29" i="6"/>
  <c r="B35" i="6"/>
  <c r="C35" i="6"/>
  <c r="C37" i="6"/>
  <c r="D35" i="6"/>
  <c r="B37" i="6"/>
  <c r="B50" i="6"/>
  <c r="D37" i="6"/>
  <c r="D50" i="6"/>
  <c r="B48" i="6"/>
  <c r="C48" i="6"/>
  <c r="D48" i="6"/>
  <c r="B3" i="5"/>
  <c r="C3" i="5"/>
  <c r="B4" i="5"/>
  <c r="C4" i="5"/>
  <c r="C5" i="5"/>
  <c r="D5" i="5"/>
  <c r="B7" i="5"/>
  <c r="C7" i="5"/>
  <c r="D7" i="5"/>
  <c r="C8" i="5"/>
  <c r="D8" i="5"/>
  <c r="B11" i="5"/>
  <c r="B15" i="5"/>
  <c r="B30" i="5"/>
  <c r="B33" i="5"/>
  <c r="B37" i="5"/>
  <c r="B47" i="5"/>
  <c r="B49" i="5"/>
  <c r="B51" i="5"/>
  <c r="C11" i="5"/>
  <c r="D11" i="5"/>
  <c r="C30" i="5"/>
  <c r="D30" i="5"/>
  <c r="C47" i="5"/>
  <c r="D47" i="5"/>
  <c r="B15" i="4"/>
  <c r="B30" i="4"/>
  <c r="B33" i="4"/>
  <c r="C15" i="4"/>
  <c r="D15" i="4"/>
  <c r="D25" i="4"/>
  <c r="D26" i="4"/>
  <c r="D30" i="4"/>
  <c r="C30" i="4"/>
  <c r="B47" i="4"/>
  <c r="C47" i="4"/>
  <c r="D47" i="4"/>
  <c r="C33" i="16"/>
  <c r="C35" i="16"/>
  <c r="C47" i="16"/>
  <c r="C44" i="9"/>
  <c r="B30" i="14"/>
  <c r="B33" i="14"/>
  <c r="B37" i="14"/>
  <c r="B33" i="15"/>
  <c r="C33" i="4"/>
  <c r="C37" i="4"/>
  <c r="C49" i="4"/>
  <c r="D33" i="38"/>
  <c r="B33" i="38"/>
  <c r="D54" i="39"/>
  <c r="B38" i="39"/>
  <c r="B15" i="26"/>
  <c r="B33" i="26"/>
  <c r="B35" i="26"/>
  <c r="C37" i="37"/>
  <c r="C49" i="37"/>
  <c r="C51" i="37"/>
  <c r="C33" i="1"/>
  <c r="D33" i="1"/>
  <c r="B33" i="32"/>
  <c r="C33" i="28"/>
  <c r="D37" i="29"/>
  <c r="C43" i="42"/>
  <c r="C48" i="42"/>
  <c r="C55" i="42"/>
  <c r="B49" i="14"/>
  <c r="B51" i="14"/>
  <c r="B15" i="24"/>
  <c r="D33" i="32"/>
  <c r="B33" i="34"/>
  <c r="C49" i="35"/>
  <c r="C51" i="35"/>
  <c r="C49" i="14"/>
  <c r="C51" i="14"/>
  <c r="D49" i="35"/>
  <c r="D51" i="35"/>
  <c r="B51" i="35"/>
  <c r="D49" i="37"/>
  <c r="D51" i="37"/>
  <c r="B30" i="37"/>
  <c r="B33" i="37"/>
  <c r="B37" i="37"/>
  <c r="D52" i="39"/>
  <c r="C51" i="4"/>
  <c r="C35" i="33"/>
  <c r="C49" i="33"/>
  <c r="C49" i="30"/>
  <c r="D4" i="5"/>
  <c r="C51" i="30"/>
  <c r="C15" i="32"/>
  <c r="C33" i="32"/>
  <c r="D51" i="33"/>
  <c r="B37" i="16"/>
  <c r="C37" i="16"/>
  <c r="C49" i="8"/>
  <c r="C51" i="8"/>
  <c r="B40" i="39"/>
  <c r="B52" i="39"/>
  <c r="B54" i="39"/>
  <c r="C20" i="18"/>
  <c r="C15" i="18"/>
  <c r="B33" i="23"/>
  <c r="B33" i="27"/>
  <c r="D33" i="28"/>
  <c r="B30" i="36"/>
  <c r="B33" i="36"/>
  <c r="B35" i="36"/>
  <c r="D19" i="31"/>
  <c r="D30" i="31"/>
  <c r="D33" i="31"/>
  <c r="C30" i="31"/>
  <c r="C33" i="31"/>
  <c r="D20" i="18"/>
  <c r="D30" i="18"/>
  <c r="D33" i="18"/>
  <c r="D37" i="18"/>
  <c r="D49" i="18"/>
  <c r="D51" i="18"/>
  <c r="C30" i="18"/>
  <c r="C33" i="18"/>
  <c r="C37" i="18"/>
  <c r="C42" i="18"/>
  <c r="C49" i="18"/>
  <c r="C51" i="18"/>
  <c r="D42" i="18"/>
  <c r="B54" i="57"/>
  <c r="B55" i="57"/>
  <c r="D23" i="57"/>
  <c r="D21" i="57"/>
  <c r="D22" i="57"/>
  <c r="AF51" i="46"/>
  <c r="D24" i="57"/>
  <c r="D29" i="57"/>
  <c r="D30" i="57"/>
  <c r="C15" i="5"/>
  <c r="C33" i="5"/>
  <c r="C37" i="5"/>
  <c r="C49" i="5"/>
  <c r="C51" i="5"/>
  <c r="D3" i="5"/>
  <c r="D15" i="5"/>
  <c r="D33" i="5"/>
  <c r="D37" i="5"/>
  <c r="D49" i="5"/>
  <c r="D51" i="5"/>
  <c r="D15" i="12"/>
  <c r="D30" i="12"/>
  <c r="D33" i="12"/>
  <c r="D37" i="12"/>
  <c r="D42" i="12"/>
  <c r="D49" i="12"/>
  <c r="D51" i="12"/>
  <c r="D37" i="16"/>
  <c r="D47" i="16"/>
  <c r="D20" i="57"/>
  <c r="D51" i="30"/>
  <c r="B37" i="4"/>
  <c r="B49" i="4"/>
  <c r="B51" i="4"/>
  <c r="D8" i="57"/>
  <c r="D11" i="57"/>
  <c r="D28" i="57"/>
  <c r="D26" i="57"/>
  <c r="D27" i="57"/>
  <c r="C33" i="9"/>
  <c r="C39" i="9"/>
  <c r="C51" i="9"/>
  <c r="C53" i="9"/>
  <c r="D15" i="9"/>
  <c r="D33" i="9"/>
  <c r="D39" i="9"/>
  <c r="D51" i="9"/>
  <c r="D53" i="9"/>
  <c r="C50" i="11"/>
  <c r="C40" i="42"/>
  <c r="B42" i="18"/>
  <c r="B49" i="18"/>
  <c r="B51" i="18"/>
  <c r="B49" i="37"/>
  <c r="B51" i="37"/>
  <c r="B30" i="6"/>
  <c r="D30" i="7"/>
  <c r="D33" i="7"/>
  <c r="D37" i="7"/>
  <c r="D49" i="7"/>
  <c r="D51" i="7"/>
  <c r="B35" i="33"/>
  <c r="B49" i="33"/>
  <c r="B51" i="33"/>
  <c r="D33" i="4"/>
  <c r="B33" i="7"/>
  <c r="B37" i="7"/>
  <c r="B49" i="7"/>
  <c r="B51" i="7"/>
  <c r="C30" i="24"/>
  <c r="B30" i="24"/>
  <c r="B33" i="24"/>
  <c r="B37" i="24"/>
  <c r="C51" i="33"/>
  <c r="C50" i="6"/>
  <c r="D49" i="8"/>
  <c r="D51" i="8"/>
  <c r="D33" i="42"/>
  <c r="B33" i="17"/>
  <c r="B33" i="21"/>
  <c r="B37" i="21"/>
  <c r="C33" i="23"/>
  <c r="D30" i="36"/>
  <c r="D33" i="36"/>
  <c r="D35" i="36"/>
  <c r="B49" i="8"/>
  <c r="B51" i="8"/>
  <c r="B51" i="9"/>
  <c r="B53" i="9"/>
  <c r="B33" i="42"/>
  <c r="B57" i="42"/>
  <c r="U70" i="46"/>
  <c r="D33" i="25"/>
  <c r="D35" i="25"/>
  <c r="C33" i="39"/>
  <c r="C33" i="17"/>
  <c r="B33" i="30"/>
  <c r="C60" i="46"/>
  <c r="C61" i="46"/>
  <c r="B49" i="57"/>
  <c r="B51" i="57"/>
  <c r="B37" i="30"/>
  <c r="B49" i="30"/>
  <c r="B51" i="30"/>
  <c r="C38" i="39"/>
  <c r="C40" i="39"/>
  <c r="C52" i="39"/>
  <c r="C54" i="39"/>
  <c r="B43" i="42"/>
  <c r="B48" i="42"/>
  <c r="B55" i="42"/>
  <c r="B40" i="42"/>
  <c r="D43" i="42"/>
  <c r="D48" i="42"/>
  <c r="D55" i="42"/>
  <c r="D57" i="42"/>
  <c r="D40" i="42"/>
  <c r="D51" i="4"/>
  <c r="D37" i="4"/>
  <c r="D49" i="4"/>
  <c r="D5" i="57"/>
  <c r="D13" i="57"/>
  <c r="D12" i="57"/>
  <c r="D15" i="57"/>
  <c r="D4" i="57"/>
  <c r="D6" i="57"/>
  <c r="D14" i="57"/>
  <c r="D7" i="57"/>
  <c r="D9" i="57"/>
  <c r="AD59" i="58"/>
  <c r="AF45" i="46"/>
  <c r="AF35" i="46"/>
  <c r="AF26" i="46"/>
  <c r="AF28" i="46"/>
  <c r="AF19" i="46"/>
  <c r="AF31" i="59"/>
  <c r="AF23" i="59"/>
  <c r="AF22" i="59"/>
  <c r="AF14" i="59"/>
  <c r="AF47" i="59"/>
  <c r="AF20" i="58"/>
  <c r="AF8" i="58"/>
  <c r="AF10" i="58"/>
  <c r="AF12" i="58"/>
  <c r="AF17" i="58"/>
  <c r="AF24" i="58"/>
  <c r="AF54" i="58"/>
  <c r="AF49" i="58"/>
  <c r="AF13" i="58"/>
  <c r="V70" i="58"/>
  <c r="AF16" i="58"/>
  <c r="AF25" i="58"/>
  <c r="AF31" i="58"/>
  <c r="AF37" i="58"/>
  <c r="U72" i="58"/>
  <c r="AF41" i="58"/>
  <c r="T77" i="58"/>
  <c r="N64" i="47"/>
  <c r="N65" i="47"/>
  <c r="Z64" i="47"/>
  <c r="Z65" i="47"/>
  <c r="AF27" i="46"/>
  <c r="AF32" i="58"/>
  <c r="AF50" i="58"/>
  <c r="AF45" i="58"/>
  <c r="AF33" i="58"/>
  <c r="AF18" i="58"/>
  <c r="AF11" i="58"/>
  <c r="AF7" i="58"/>
  <c r="AF40" i="58"/>
  <c r="U66" i="58"/>
  <c r="AF48" i="58"/>
  <c r="AF39" i="58"/>
  <c r="AF5" i="58"/>
  <c r="AF22" i="58"/>
  <c r="AF52" i="58"/>
  <c r="AF46" i="58"/>
  <c r="AF38" i="58"/>
  <c r="AF27" i="58"/>
  <c r="AF23" i="58"/>
  <c r="AF19" i="58"/>
  <c r="AF9" i="58"/>
  <c r="AF6" i="58"/>
  <c r="AF49" i="59"/>
  <c r="AF45" i="59"/>
  <c r="AF42" i="59"/>
  <c r="AF39" i="59"/>
  <c r="AF36" i="59"/>
  <c r="AF32" i="59"/>
  <c r="AF28" i="59"/>
  <c r="AF24" i="59"/>
  <c r="AF20" i="59"/>
  <c r="AF12" i="59"/>
  <c r="Z60" i="46"/>
  <c r="Z61" i="46"/>
  <c r="S62" i="46"/>
  <c r="F103" i="46"/>
  <c r="AF34" i="46"/>
  <c r="AF49" i="46"/>
  <c r="AF17" i="46"/>
  <c r="AF21" i="46"/>
  <c r="AF41" i="46"/>
  <c r="AF30" i="46"/>
  <c r="AF46" i="46"/>
  <c r="AF50" i="46"/>
  <c r="B15" i="6"/>
  <c r="B33" i="6"/>
  <c r="B40" i="6"/>
  <c r="B52" i="6"/>
  <c r="B30" i="12"/>
  <c r="B33" i="12"/>
  <c r="C33" i="24"/>
  <c r="C37" i="24"/>
  <c r="B30" i="11"/>
  <c r="B33" i="11"/>
  <c r="B40" i="11"/>
  <c r="C30" i="12"/>
  <c r="C33" i="12"/>
  <c r="C37" i="12"/>
  <c r="C42" i="12"/>
  <c r="C49" i="12"/>
  <c r="C51" i="12"/>
  <c r="D30" i="24"/>
  <c r="D33" i="24"/>
  <c r="D37" i="24"/>
  <c r="D30" i="6"/>
  <c r="D33" i="6"/>
  <c r="C30" i="11"/>
  <c r="C33" i="11"/>
  <c r="C38" i="11"/>
  <c r="AF21" i="58"/>
  <c r="N53" i="59"/>
  <c r="N54" i="59"/>
  <c r="E55" i="59"/>
  <c r="C96" i="59"/>
  <c r="Z53" i="59"/>
  <c r="Z54" i="59"/>
  <c r="W55" i="59"/>
  <c r="U67" i="59"/>
  <c r="U59" i="59"/>
  <c r="U63" i="59"/>
  <c r="U62" i="59"/>
  <c r="U66" i="59"/>
  <c r="U70" i="59"/>
  <c r="U60" i="59"/>
  <c r="U64" i="59"/>
  <c r="U68" i="59"/>
  <c r="U61" i="59"/>
  <c r="U65" i="59"/>
  <c r="B54" i="11"/>
  <c r="B38" i="11"/>
  <c r="C54" i="6"/>
  <c r="C38" i="6"/>
  <c r="C40" i="6"/>
  <c r="C52" i="6"/>
  <c r="D54" i="11"/>
  <c r="D38" i="11"/>
  <c r="D40" i="11"/>
  <c r="D54" i="6"/>
  <c r="D38" i="6"/>
  <c r="D40" i="6"/>
  <c r="D52" i="6"/>
  <c r="C40" i="11"/>
  <c r="C54" i="11"/>
  <c r="B54" i="6"/>
  <c r="B38" i="6"/>
  <c r="AB65" i="47"/>
  <c r="V73" i="46"/>
  <c r="U76" i="46"/>
  <c r="U73" i="46"/>
  <c r="U71" i="46"/>
  <c r="U67" i="46"/>
  <c r="U68" i="46"/>
  <c r="U74" i="46"/>
  <c r="N60" i="46"/>
  <c r="N61" i="46"/>
  <c r="C62" i="46"/>
  <c r="C101" i="46"/>
  <c r="U66" i="46"/>
  <c r="V70" i="46"/>
  <c r="U72" i="46"/>
  <c r="V71" i="46"/>
  <c r="T80" i="46"/>
  <c r="U74" i="58"/>
  <c r="V68" i="58"/>
  <c r="AD58" i="58"/>
  <c r="Z57" i="58"/>
  <c r="Z58" i="58"/>
  <c r="W59" i="58"/>
  <c r="AF42" i="58"/>
  <c r="U73" i="58"/>
  <c r="U70" i="58"/>
  <c r="U68" i="58"/>
  <c r="U65" i="58"/>
  <c r="N57" i="58"/>
  <c r="N58" i="58"/>
  <c r="D59" i="58"/>
  <c r="C99" i="58"/>
  <c r="V67" i="58"/>
  <c r="U64" i="58"/>
  <c r="AF15" i="58"/>
  <c r="U71" i="58"/>
  <c r="U69" i="58"/>
  <c r="U67" i="58"/>
  <c r="V62" i="46"/>
  <c r="Q62" i="46"/>
  <c r="F101" i="46"/>
  <c r="T62" i="46"/>
  <c r="F104" i="46"/>
  <c r="R62" i="46"/>
  <c r="F102" i="46"/>
  <c r="Y62" i="46"/>
  <c r="F107" i="46"/>
  <c r="U62" i="46"/>
  <c r="X62" i="46"/>
  <c r="F106" i="46"/>
  <c r="V55" i="59"/>
  <c r="D55" i="59"/>
  <c r="C95" i="59"/>
  <c r="F55" i="59"/>
  <c r="C97" i="59"/>
  <c r="C55" i="59"/>
  <c r="C94" i="59"/>
  <c r="P62" i="46"/>
  <c r="F100" i="46"/>
  <c r="W62" i="46"/>
  <c r="H55" i="59"/>
  <c r="C99" i="59"/>
  <c r="K55" i="59"/>
  <c r="L55" i="59"/>
  <c r="C101" i="59"/>
  <c r="J55" i="59"/>
  <c r="M55" i="59"/>
  <c r="C102" i="59"/>
  <c r="M62" i="46"/>
  <c r="C109" i="46"/>
  <c r="G62" i="46"/>
  <c r="C105" i="46"/>
  <c r="G55" i="59"/>
  <c r="C98" i="59"/>
  <c r="B55" i="59"/>
  <c r="C93" i="59"/>
  <c r="I55" i="59"/>
  <c r="Y55" i="59"/>
  <c r="F100" i="59"/>
  <c r="T55" i="59"/>
  <c r="F97" i="59"/>
  <c r="U55" i="59"/>
  <c r="S55" i="59"/>
  <c r="F96" i="59"/>
  <c r="P55" i="59"/>
  <c r="F93" i="59"/>
  <c r="R55" i="59"/>
  <c r="F95" i="59"/>
  <c r="X55" i="59"/>
  <c r="F99" i="59"/>
  <c r="Q55" i="59"/>
  <c r="F94" i="59"/>
  <c r="C45" i="11"/>
  <c r="C52" i="11"/>
  <c r="D45" i="11"/>
  <c r="D52" i="11"/>
  <c r="B52" i="11"/>
  <c r="B45" i="11"/>
  <c r="H62" i="46"/>
  <c r="C106" i="46"/>
  <c r="I62" i="46"/>
  <c r="B62" i="46"/>
  <c r="C100" i="46"/>
  <c r="K62" i="46"/>
  <c r="J62" i="46"/>
  <c r="D62" i="46"/>
  <c r="C102" i="46"/>
  <c r="F62" i="46"/>
  <c r="C104" i="46"/>
  <c r="L62" i="46"/>
  <c r="C108" i="46"/>
  <c r="E62" i="46"/>
  <c r="C103" i="46"/>
  <c r="AB58" i="58"/>
  <c r="F59" i="58"/>
  <c r="C101" i="58"/>
  <c r="Y59" i="58"/>
  <c r="F104" i="58"/>
  <c r="J59" i="58"/>
  <c r="I59" i="58"/>
  <c r="E59" i="58"/>
  <c r="C100" i="58"/>
  <c r="S59" i="58"/>
  <c r="F100" i="58"/>
  <c r="X59" i="58"/>
  <c r="F103" i="58"/>
  <c r="M59" i="58"/>
  <c r="C106" i="58"/>
  <c r="C59" i="58"/>
  <c r="C98" i="58"/>
  <c r="V59" i="58"/>
  <c r="K59" i="58"/>
  <c r="P59" i="58"/>
  <c r="F97" i="58"/>
  <c r="G59" i="58"/>
  <c r="C102" i="58"/>
  <c r="T59" i="58"/>
  <c r="F101" i="58"/>
  <c r="Q59" i="58"/>
  <c r="F98" i="58"/>
  <c r="U59" i="58"/>
  <c r="H59" i="58"/>
  <c r="C103" i="58"/>
  <c r="R59" i="58"/>
  <c r="F99" i="58"/>
  <c r="L59" i="58"/>
  <c r="C105" i="58"/>
  <c r="B59" i="58"/>
  <c r="C97" i="58"/>
  <c r="F105" i="46"/>
  <c r="AB61" i="46"/>
  <c r="C104" i="58"/>
  <c r="C107" i="58"/>
  <c r="F98" i="59"/>
  <c r="AB54" i="59"/>
  <c r="AB57" i="59"/>
  <c r="F108" i="46"/>
  <c r="C100" i="59"/>
  <c r="C103" i="59"/>
  <c r="F101" i="59"/>
  <c r="C107" i="46"/>
  <c r="C110" i="46"/>
  <c r="AD60" i="58"/>
  <c r="F102" i="58"/>
  <c r="F105" i="58"/>
</calcChain>
</file>

<file path=xl/comments1.xml><?xml version="1.0" encoding="utf-8"?>
<comments xmlns="http://schemas.openxmlformats.org/spreadsheetml/2006/main">
  <authors>
    <author>winnie.lee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winnie.lee:</t>
        </r>
        <r>
          <rPr>
            <sz val="8"/>
            <color indexed="81"/>
            <rFont val="Tahoma"/>
            <family val="2"/>
          </rPr>
          <t xml:space="preserve">
Based on DCPCSB 2nd payment</t>
        </r>
      </text>
    </comment>
    <comment ref="D34" authorId="0">
      <text>
        <r>
          <rPr>
            <b/>
            <sz val="8"/>
            <color indexed="81"/>
            <rFont val="Tahoma"/>
            <family val="2"/>
          </rPr>
          <t>winnie.lee:</t>
        </r>
        <r>
          <rPr>
            <sz val="8"/>
            <color indexed="81"/>
            <rFont val="Tahoma"/>
            <family val="2"/>
          </rPr>
          <t xml:space="preserve">
number from FY2011 enrollment projection</t>
        </r>
      </text>
    </comment>
  </commentList>
</comments>
</file>

<file path=xl/comments2.xml><?xml version="1.0" encoding="utf-8"?>
<comments xmlns="http://schemas.openxmlformats.org/spreadsheetml/2006/main">
  <authors>
    <author>Jeremy</author>
  </authors>
  <commentList>
    <comment ref="A54" authorId="0">
      <text>
        <r>
          <rPr>
            <b/>
            <sz val="9"/>
            <color indexed="81"/>
            <rFont val="Tahoma"/>
            <family val="2"/>
          </rPr>
          <t>Jeremy:</t>
        </r>
        <r>
          <rPr>
            <sz val="9"/>
            <color indexed="81"/>
            <rFont val="Tahoma"/>
            <family val="2"/>
          </rPr>
          <t xml:space="preserve">
exclusive of NCP </t>
        </r>
      </text>
    </comment>
  </commentList>
</comments>
</file>

<file path=xl/comments3.xml><?xml version="1.0" encoding="utf-8"?>
<comments xmlns="http://schemas.openxmlformats.org/spreadsheetml/2006/main">
  <authors>
    <author>loaner</author>
    <author>Jeremy</author>
  </authors>
  <commentList>
    <comment ref="D20" authorId="0">
      <text>
        <r>
          <rPr>
            <b/>
            <sz val="8"/>
            <color indexed="81"/>
            <rFont val="Tahoma"/>
            <family val="2"/>
          </rPr>
          <t>loaner:</t>
        </r>
        <r>
          <rPr>
            <sz val="8"/>
            <color indexed="81"/>
            <rFont val="Tahoma"/>
            <family val="2"/>
          </rPr>
          <t xml:space="preserve">
NOTE: The lease payments include in-kind donated space of approximately $68k in FY10 and $71k in FY11</t>
        </r>
      </text>
    </comment>
    <comment ref="A58" authorId="1">
      <text>
        <r>
          <rPr>
            <b/>
            <sz val="9"/>
            <color indexed="81"/>
            <rFont val="Tahoma"/>
            <family val="2"/>
          </rPr>
          <t>Jeremy:</t>
        </r>
        <r>
          <rPr>
            <sz val="9"/>
            <color indexed="81"/>
            <rFont val="Tahoma"/>
            <family val="2"/>
          </rPr>
          <t xml:space="preserve">
exclusive of NCP </t>
        </r>
      </text>
    </comment>
  </commentList>
</comments>
</file>

<file path=xl/comments4.xml><?xml version="1.0" encoding="utf-8"?>
<comments xmlns="http://schemas.openxmlformats.org/spreadsheetml/2006/main">
  <authors>
    <author>loaner</author>
    <author>Jeremy</author>
  </authors>
  <commentList>
    <comment ref="D23" authorId="0">
      <text>
        <r>
          <rPr>
            <b/>
            <sz val="8"/>
            <color indexed="81"/>
            <rFont val="Tahoma"/>
            <family val="2"/>
          </rPr>
          <t>loaner:</t>
        </r>
        <r>
          <rPr>
            <sz val="8"/>
            <color indexed="81"/>
            <rFont val="Tahoma"/>
            <family val="2"/>
          </rPr>
          <t xml:space="preserve">
NOTE: The lease payments include in-kind donated space of approximately $68k in FY10 and $71k in FY11</t>
        </r>
      </text>
    </comment>
    <comment ref="A61" authorId="1">
      <text>
        <r>
          <rPr>
            <b/>
            <sz val="9"/>
            <color indexed="81"/>
            <rFont val="Tahoma"/>
            <family val="2"/>
          </rPr>
          <t>Jeremy:</t>
        </r>
        <r>
          <rPr>
            <sz val="9"/>
            <color indexed="81"/>
            <rFont val="Tahoma"/>
            <family val="2"/>
          </rPr>
          <t xml:space="preserve">
exclusive of NCP </t>
        </r>
      </text>
    </comment>
  </commentList>
</comments>
</file>

<file path=xl/comments5.xml><?xml version="1.0" encoding="utf-8"?>
<comments xmlns="http://schemas.openxmlformats.org/spreadsheetml/2006/main">
  <authors>
    <author>Jeremy Williams</author>
  </authors>
  <commentList>
    <comment ref="W11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needs to be verified</t>
        </r>
      </text>
    </comment>
    <comment ref="W12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220 - high 
175 - adult
</t>
        </r>
      </text>
    </comment>
    <comment ref="W29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Was this negogiated downwards?
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Jeremy Williams:</t>
        </r>
        <r>
          <rPr>
            <sz val="9"/>
            <color indexed="81"/>
            <rFont val="Tahoma"/>
            <family val="2"/>
          </rPr>
          <t xml:space="preserve">
Only serving grades prek3-k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Jeremy Williams:</t>
        </r>
        <r>
          <rPr>
            <sz val="9"/>
            <color indexed="81"/>
            <rFont val="Tahoma"/>
            <family val="2"/>
          </rPr>
          <t xml:space="preserve">
Closed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Jeremy Williams:</t>
        </r>
        <r>
          <rPr>
            <sz val="9"/>
            <color indexed="81"/>
            <rFont val="Tahoma"/>
            <family val="2"/>
          </rPr>
          <t xml:space="preserve">
Closed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Jeremy Williams:</t>
        </r>
        <r>
          <rPr>
            <sz val="9"/>
            <color indexed="81"/>
            <rFont val="Tahoma"/>
            <family val="2"/>
          </rPr>
          <t xml:space="preserve">
No longer serving grades 7 and 8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Jeremy Williams:</t>
        </r>
        <r>
          <rPr>
            <sz val="9"/>
            <color indexed="81"/>
            <rFont val="Tahoma"/>
            <family val="2"/>
          </rPr>
          <t xml:space="preserve">
no longer serving grades 7 and 8</t>
        </r>
      </text>
    </comment>
    <comment ref="W81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Needs verification</t>
        </r>
      </text>
    </comment>
    <comment ref="W82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Needs verification</t>
        </r>
      </text>
    </comment>
    <comment ref="W90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verification</t>
        </r>
      </text>
    </comment>
    <comment ref="W94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Neds to be verified</t>
        </r>
      </text>
    </comment>
    <comment ref="W95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</t>
        </r>
      </text>
    </comment>
    <comment ref="W98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</t>
        </r>
      </text>
    </comment>
    <comment ref="A99" authorId="0">
      <text>
        <r>
          <rPr>
            <b/>
            <sz val="9"/>
            <color indexed="81"/>
            <rFont val="Tahoma"/>
            <family val="2"/>
          </rPr>
          <t>Jeremy Williams:</t>
        </r>
        <r>
          <rPr>
            <sz val="9"/>
            <color indexed="81"/>
            <rFont val="Tahoma"/>
            <family val="2"/>
          </rPr>
          <t xml:space="preserve">
Closed</t>
        </r>
      </text>
    </comment>
    <comment ref="W99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
343???</t>
        </r>
      </text>
    </comment>
    <comment ref="W101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</t>
        </r>
      </text>
    </comment>
  </commentList>
</comments>
</file>

<file path=xl/comments6.xml><?xml version="1.0" encoding="utf-8"?>
<comments xmlns="http://schemas.openxmlformats.org/spreadsheetml/2006/main">
  <authors>
    <author>Jeremy Williams</author>
  </authors>
  <commentList>
    <comment ref="W11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needs to be verified</t>
        </r>
      </text>
    </comment>
    <comment ref="W12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220 - high 
175 - adult
</t>
        </r>
      </text>
    </comment>
    <comment ref="W29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Was this negogiated downwards?
</t>
        </r>
      </text>
    </comment>
    <comment ref="W34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</t>
        </r>
      </text>
    </comment>
    <comment ref="W81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Needs verification</t>
        </r>
      </text>
    </comment>
    <comment ref="W82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Needs verification</t>
        </r>
      </text>
    </comment>
    <comment ref="W90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verification</t>
        </r>
      </text>
    </comment>
    <comment ref="W94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Neds to be verified</t>
        </r>
      </text>
    </comment>
    <comment ref="W95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</t>
        </r>
      </text>
    </comment>
    <comment ref="W98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</t>
        </r>
      </text>
    </comment>
    <comment ref="W99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
343???</t>
        </r>
      </text>
    </comment>
    <comment ref="W101" authorId="0">
      <text>
        <r>
          <rPr>
            <b/>
            <sz val="9"/>
            <color indexed="81"/>
            <rFont val="Calibri"/>
            <family val="2"/>
          </rPr>
          <t>Jeremy Williams:</t>
        </r>
        <r>
          <rPr>
            <sz val="9"/>
            <color indexed="81"/>
            <rFont val="Calibri"/>
            <family val="2"/>
          </rPr>
          <t xml:space="preserve">
Need to verify</t>
        </r>
      </text>
    </comment>
  </commentList>
</comments>
</file>

<file path=xl/sharedStrings.xml><?xml version="1.0" encoding="utf-8"?>
<sst xmlns="http://schemas.openxmlformats.org/spreadsheetml/2006/main" count="3311" uniqueCount="624">
  <si>
    <t>LEASED FACILITY COSTS</t>
  </si>
  <si>
    <t>Direct lease payments</t>
  </si>
  <si>
    <t>Real estate taxes (if applicable)</t>
  </si>
  <si>
    <t>Property Insurance</t>
  </si>
  <si>
    <t xml:space="preserve">      Interest</t>
  </si>
  <si>
    <t xml:space="preserve">     Principal</t>
  </si>
  <si>
    <t>TOTAL LEASED FACILITY COSTS</t>
  </si>
  <si>
    <t>OWNED FACILITY COSTS</t>
  </si>
  <si>
    <t>Debt service for mortgage financing:</t>
  </si>
  <si>
    <t xml:space="preserve">      Principal</t>
  </si>
  <si>
    <t xml:space="preserve">      Other Finance Costs being amortized</t>
  </si>
  <si>
    <t>Additional lease payments (CAM charges, etc.)</t>
  </si>
  <si>
    <t>TOTAL OWNED FACILITY COSTS</t>
  </si>
  <si>
    <t>TOTAL FACILITY COSTS</t>
  </si>
  <si>
    <t>Divided by enrollment</t>
  </si>
  <si>
    <t>FACILITY ALLOWANCE CALCULATION:</t>
  </si>
  <si>
    <t xml:space="preserve">                         Actual Space (square feet)/Student</t>
  </si>
  <si>
    <t>Standard space/student (DCPS) ranges from 140 sf to 190 sf</t>
  </si>
  <si>
    <t>Actual space/student = Total facility space/current enrollment</t>
  </si>
  <si>
    <t>Utilities</t>
  </si>
  <si>
    <t>Maintenance</t>
  </si>
  <si>
    <t xml:space="preserve">     Other Finance Costs being amortized</t>
  </si>
  <si>
    <t>Amortization of leasehold improvements &amp; FFE</t>
  </si>
  <si>
    <t>Debt service for LHI &amp; FFE:</t>
  </si>
  <si>
    <t>Capital expenses (major repairs), not financed</t>
  </si>
  <si>
    <t>Depreciation of building/improvements/FFE</t>
  </si>
  <si>
    <t>Capital Expenses (major repairs), not financed</t>
  </si>
  <si>
    <r>
      <t>(A)</t>
    </r>
    <r>
      <rPr>
        <sz val="10"/>
        <rFont val="Arial"/>
        <family val="2"/>
      </rPr>
      <t xml:space="preserve"> x </t>
    </r>
    <r>
      <rPr>
        <u/>
        <sz val="10"/>
        <rFont val="Arial"/>
        <family val="2"/>
        <charset val="204"/>
      </rPr>
      <t>Standard Space Requirement (square feet)/Student (DCPS)</t>
    </r>
  </si>
  <si>
    <r>
      <t>Per Pupil Facility Costs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04"/>
      </rPr>
      <t>(A): Current Space</t>
    </r>
  </si>
  <si>
    <t>ADJUSTED PER PUPIL FACILITY COSTS: Standard Space</t>
  </si>
  <si>
    <t>ADJUSTED TOTAL FACILITY COSTS: Standard Space</t>
  </si>
  <si>
    <t>Lender Required Reserves</t>
  </si>
  <si>
    <t>FY10 (Budgeted)</t>
  </si>
  <si>
    <t>FY11 (Projected)</t>
  </si>
  <si>
    <t>FY09 (Actual/Audited)</t>
  </si>
  <si>
    <t xml:space="preserve"> </t>
  </si>
  <si>
    <t>Please see attached ATA LIFE CYCLE FACILITIES MAINTENANCE SCHEDULE.</t>
  </si>
  <si>
    <t>Space</t>
  </si>
  <si>
    <t>Divided by Sq. Ft</t>
  </si>
  <si>
    <t xml:space="preserve">Facility  (Square Footage) </t>
  </si>
  <si>
    <t>Square Footage</t>
  </si>
  <si>
    <t>$270.800.00</t>
  </si>
  <si>
    <t>Divided by Sq. Ft.</t>
  </si>
  <si>
    <t>Maintenance &amp; Contracted Building Services</t>
  </si>
  <si>
    <t>FY09 (Actual)</t>
  </si>
  <si>
    <t>N/A</t>
  </si>
  <si>
    <t>enrollment</t>
  </si>
  <si>
    <t>FY09 (Actual / Audited)</t>
  </si>
  <si>
    <t>=&gt; Actual Space Used</t>
  </si>
  <si>
    <t>SY08-09</t>
  </si>
  <si>
    <t>SY09-10</t>
  </si>
  <si>
    <t>SY10-11</t>
  </si>
  <si>
    <t>Students</t>
  </si>
  <si>
    <t>8000 · Rent</t>
  </si>
  <si>
    <t>8100 · Utilities &amp; garbage removal</t>
  </si>
  <si>
    <t>x</t>
  </si>
  <si>
    <t>8110 · Contracted building services</t>
  </si>
  <si>
    <t>8130 · Janitorial supplies</t>
  </si>
  <si>
    <t>CapEx</t>
  </si>
  <si>
    <t>Leasehold Improvements</t>
  </si>
  <si>
    <t>8140 · Facility consulting fees</t>
  </si>
  <si>
    <t>4554 SF</t>
  </si>
  <si>
    <t>14349 SF</t>
  </si>
  <si>
    <r>
      <t>Maintenance</t>
    </r>
    <r>
      <rPr>
        <vertAlign val="superscript"/>
        <sz val="10"/>
        <rFont val="Arial"/>
        <family val="2"/>
        <charset val="204"/>
      </rPr>
      <t>1</t>
    </r>
  </si>
  <si>
    <r>
      <t>1</t>
    </r>
    <r>
      <rPr>
        <sz val="10"/>
        <color indexed="10"/>
        <rFont val="Arial"/>
        <family val="2"/>
        <charset val="204"/>
      </rPr>
      <t xml:space="preserve">  Amounts adjusted to exclued Contracted Building Services
Mostly Custodial Services</t>
    </r>
  </si>
  <si>
    <t>21649 sq ft</t>
  </si>
  <si>
    <t>FY 08-09 (Actual/Audited)</t>
  </si>
  <si>
    <t>FY 09-10 (Budgeted)</t>
  </si>
  <si>
    <t>FY10-11 (Projected)</t>
  </si>
  <si>
    <t>Capitol Account</t>
  </si>
  <si>
    <t>166.67 avg.</t>
  </si>
  <si>
    <t>---</t>
  </si>
  <si>
    <t>Total Facility Space</t>
  </si>
  <si>
    <t>Annual enrollment</t>
  </si>
  <si>
    <t xml:space="preserve">      Other Finance Costs being amortized( Prepaid Refinance Interest)</t>
  </si>
  <si>
    <t>facilities consulting</t>
  </si>
  <si>
    <t>Elem</t>
  </si>
  <si>
    <t>Achievement Prep</t>
  </si>
  <si>
    <t>Appletree</t>
  </si>
  <si>
    <t>ATA</t>
  </si>
  <si>
    <t>Booker T. Washington</t>
  </si>
  <si>
    <t>Bridges</t>
  </si>
  <si>
    <t>Capital City</t>
  </si>
  <si>
    <t>Carlos Rosario</t>
  </si>
  <si>
    <t>Center City</t>
  </si>
  <si>
    <t>Cesar Chavez</t>
  </si>
  <si>
    <t>Community Academy</t>
  </si>
  <si>
    <t>DC Bilingual</t>
  </si>
  <si>
    <t>DC Prep</t>
  </si>
  <si>
    <t>E.L. Haynes</t>
  </si>
  <si>
    <t>E.W. Stokes</t>
  </si>
  <si>
    <t>Eagle</t>
  </si>
  <si>
    <t>Early Childhood</t>
  </si>
  <si>
    <t>Education Strengthens Families</t>
  </si>
  <si>
    <t>Excel Academy</t>
  </si>
  <si>
    <t>Friendship Schools</t>
  </si>
  <si>
    <t>Hope Community</t>
  </si>
  <si>
    <t>Hospitality</t>
  </si>
  <si>
    <t>Howard Road</t>
  </si>
  <si>
    <t>Howard University</t>
  </si>
  <si>
    <t>IDEA</t>
  </si>
  <si>
    <t>Ideal Academy</t>
  </si>
  <si>
    <t>Imagine SE</t>
  </si>
  <si>
    <t>KIPP</t>
  </si>
  <si>
    <t>Mary Mcleod Bethune</t>
  </si>
  <si>
    <t>Meridian</t>
  </si>
  <si>
    <t>National Collegiate Prep</t>
  </si>
  <si>
    <t>Next Step</t>
  </si>
  <si>
    <t>Options</t>
  </si>
  <si>
    <t>Paul</t>
  </si>
  <si>
    <t>Potomac</t>
  </si>
  <si>
    <t>Roots</t>
  </si>
  <si>
    <t>SEED</t>
  </si>
  <si>
    <t>Septima Clark</t>
  </si>
  <si>
    <t>St. Colleta</t>
  </si>
  <si>
    <t>Thurgood Marshall</t>
  </si>
  <si>
    <t>Tree of Life</t>
  </si>
  <si>
    <t>Two Rivers</t>
  </si>
  <si>
    <t>Washington Latin</t>
  </si>
  <si>
    <t>Washington Math Science Technology</t>
  </si>
  <si>
    <t>Washington Yu Ying</t>
  </si>
  <si>
    <t>William Doar</t>
  </si>
  <si>
    <t>Youthbuild</t>
  </si>
  <si>
    <t>Other Finance Costs being amortized</t>
  </si>
  <si>
    <t>Interest</t>
  </si>
  <si>
    <t>Maya Angelou</t>
  </si>
  <si>
    <t xml:space="preserve">     Interest</t>
  </si>
  <si>
    <t>Direct lease payments*</t>
  </si>
  <si>
    <t>*These lease payments include in-kind donated space that the school would have to otherwise pay for.</t>
  </si>
  <si>
    <t>The amounts of this in-kind rental expense for each year are: FY09-$66,480; FY10-$68,475; FY11-$70,529</t>
  </si>
  <si>
    <t>Pre-school and adult</t>
  </si>
  <si>
    <t>PCS audited enrollment</t>
  </si>
  <si>
    <t>Totals</t>
  </si>
  <si>
    <t>Adjusted totals</t>
  </si>
  <si>
    <t>Bin</t>
  </si>
  <si>
    <t>More</t>
  </si>
  <si>
    <t>Frequency</t>
  </si>
  <si>
    <t>Freq %</t>
  </si>
  <si>
    <r>
      <t>Per Pupil Facility Costs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04"/>
      </rPr>
      <t>(A): Current Space (unweighted avg)</t>
    </r>
  </si>
  <si>
    <r>
      <t>Divided by enrollment (</t>
    </r>
    <r>
      <rPr>
        <b/>
        <sz val="10"/>
        <color indexed="10"/>
        <rFont val="Arial"/>
        <family val="2"/>
      </rPr>
      <t>reported -  representative of reporting PCS</t>
    </r>
    <r>
      <rPr>
        <sz val="10"/>
        <rFont val="Arial"/>
        <family val="2"/>
      </rPr>
      <t>)</t>
    </r>
  </si>
  <si>
    <t>Perry Street Prep</t>
  </si>
  <si>
    <t>Per student costs</t>
  </si>
  <si>
    <t>Total reserve costs</t>
  </si>
  <si>
    <t xml:space="preserve">BASIS DC </t>
  </si>
  <si>
    <t>Creative Minds</t>
  </si>
  <si>
    <t xml:space="preserve">DC Scholars </t>
  </si>
  <si>
    <t>\</t>
  </si>
  <si>
    <t xml:space="preserve">Inspired Teaching </t>
  </si>
  <si>
    <t>LAMB</t>
  </si>
  <si>
    <t xml:space="preserve">LAYC Career Academy </t>
  </si>
  <si>
    <t>Mundo Verde</t>
  </si>
  <si>
    <t xml:space="preserve">Richard Wright </t>
  </si>
  <si>
    <t>.</t>
  </si>
  <si>
    <t>-</t>
  </si>
  <si>
    <t>Latin American</t>
  </si>
  <si>
    <t>Arts and Technology Academy</t>
  </si>
  <si>
    <t>Booker T Washington</t>
  </si>
  <si>
    <t xml:space="preserve">DC Bilingual </t>
  </si>
  <si>
    <t>DC Preparatory</t>
  </si>
  <si>
    <t>EL Haynes</t>
  </si>
  <si>
    <t>ESF</t>
  </si>
  <si>
    <t>EW Stokes</t>
  </si>
  <si>
    <t>Excel</t>
  </si>
  <si>
    <t>Friendship (all campuses)</t>
  </si>
  <si>
    <t>Hospitality High</t>
  </si>
  <si>
    <t>Howard Rd</t>
  </si>
  <si>
    <t>Howard University MS Math/Sci.</t>
  </si>
  <si>
    <t>Ideal</t>
  </si>
  <si>
    <t>KIPP (all campuses)</t>
  </si>
  <si>
    <t>Mary McLeod Bethune</t>
  </si>
  <si>
    <t>Maya (both campuses)</t>
  </si>
  <si>
    <t>HYDE</t>
  </si>
  <si>
    <t>Potomac Lighthouse</t>
  </si>
  <si>
    <t xml:space="preserve">Septima </t>
  </si>
  <si>
    <t>St. Coletta</t>
  </si>
  <si>
    <t xml:space="preserve">Two Rivers </t>
  </si>
  <si>
    <t>Washington Math and Science</t>
  </si>
  <si>
    <t>William E Doar</t>
  </si>
  <si>
    <t>Audited Enrollment</t>
  </si>
  <si>
    <t>Facilities Expenditure/ Student</t>
  </si>
  <si>
    <t>Facilities Expendoture/ Student</t>
  </si>
  <si>
    <t>Projected Enrollment</t>
  </si>
  <si>
    <t>Note:  Many schools also use facilities funds to build reserves for future building purchases or capital improvements.  These requirements are not reflected in the above finanicals</t>
  </si>
  <si>
    <t>Note 1:  Many schools also use facilities funds to build reserves for future building purchases or capital improvements.  These requirements are not reflected in the above finanicals.</t>
  </si>
  <si>
    <t>Note 2:  Data for the following schools was inconclusive for this reporting:  EL Haynes PCS, EW Stokes PCS, Howard University PCS and Tree of Life PCS.</t>
  </si>
  <si>
    <t>Note 2:  Data for the following schools was inconclusive for this reporting: Ideal Academy PCS, Inspired Teaching PCS, Richard Wright PCS, Shinning Stars PCS, Two Rivers PCS, and Youthbuild PCS.</t>
  </si>
  <si>
    <t>Note 2:  Data for the following schools was inconclusive for this reporting:  Friendship PCS, Ideal Academy PCS, Inspired Teaching PCS, Meridian PCS, and Youthbuild PCS.</t>
  </si>
  <si>
    <t>School</t>
  </si>
  <si>
    <t>Address</t>
  </si>
  <si>
    <t>Building
Type</t>
  </si>
  <si>
    <t>Building
Status</t>
  </si>
  <si>
    <t>Detail</t>
    <phoneticPr fontId="0"/>
  </si>
  <si>
    <t>Achievement Preparatory Academy</t>
  </si>
  <si>
    <t>908 Wahler Place SE 3rd Floor</t>
  </si>
  <si>
    <t>DCPS-Draper</t>
    <phoneticPr fontId="0"/>
  </si>
  <si>
    <t>Leased</t>
    <phoneticPr fontId="0"/>
  </si>
  <si>
    <t>Co-location</t>
    <phoneticPr fontId="0"/>
  </si>
  <si>
    <t>AppleTree Early Learning PCS–Amidon</t>
    <phoneticPr fontId="0"/>
  </si>
  <si>
    <t>401 Eye Street SW</t>
  </si>
  <si>
    <t>DCPS-Amidon</t>
  </si>
  <si>
    <t>Leased</t>
  </si>
  <si>
    <t>Collaboration</t>
  </si>
  <si>
    <t>AppleTree Early Learning PCS–Columbia Heights</t>
  </si>
  <si>
    <t>2750 14th Street NW</t>
  </si>
  <si>
    <t>Commercial</t>
  </si>
  <si>
    <t>Mixed Use</t>
    <phoneticPr fontId="0"/>
  </si>
  <si>
    <t>AppleTree Early Learning PCS–Riverside</t>
    <phoneticPr fontId="0"/>
  </si>
  <si>
    <t xml:space="preserve">680 I Street SW </t>
  </si>
  <si>
    <t>AppleTree Early Learning - Douglass Knoll</t>
  </si>
  <si>
    <t>2017 Savannah Street SE</t>
  </si>
  <si>
    <t xml:space="preserve">Owned  </t>
  </si>
  <si>
    <t xml:space="preserve">Remodel School Facility </t>
  </si>
  <si>
    <t>AppleTree Early Learning - Lincoln</t>
  </si>
  <si>
    <t>138 12th Street NE</t>
  </si>
  <si>
    <t>AppleTree Early Learning - Oklahoma</t>
  </si>
  <si>
    <t>330 21st St NE</t>
  </si>
  <si>
    <t xml:space="preserve">Leased </t>
  </si>
  <si>
    <t xml:space="preserve">Church Facility </t>
  </si>
  <si>
    <t>AppleTree Early Learning - Parkland</t>
  </si>
  <si>
    <t>2011 Savannah Street SE</t>
  </si>
  <si>
    <t xml:space="preserve">Child Development Center </t>
  </si>
  <si>
    <t>Arts and Technology Academy PCS</t>
  </si>
  <si>
    <t xml:space="preserve">5300 Blaine Street NE </t>
  </si>
  <si>
    <t>DCPS-Richardson</t>
  </si>
  <si>
    <t>Owned</t>
  </si>
  <si>
    <t>Surplus</t>
  </si>
  <si>
    <t>BASIS DC</t>
  </si>
  <si>
    <t>412 8th Street, NW</t>
  </si>
  <si>
    <t>Booker T. Washington PCS</t>
  </si>
  <si>
    <t xml:space="preserve">1346 Florida Avenue NW </t>
  </si>
  <si>
    <t>Bridges PCS</t>
  </si>
  <si>
    <t xml:space="preserve">1250 Taylor Street NW </t>
  </si>
  <si>
    <t>Capital City PCS</t>
  </si>
  <si>
    <t>100 Peabody Steet, NW</t>
  </si>
  <si>
    <t>DCPS-Rabaut</t>
  </si>
  <si>
    <t>Carlos Rosario International PCS</t>
  </si>
  <si>
    <t>1100 Harvard Street NW</t>
  </si>
  <si>
    <t>City Gov</t>
  </si>
  <si>
    <t>Teachers College</t>
    <phoneticPr fontId="0"/>
  </si>
  <si>
    <t>Center City PCS-Brightwood</t>
  </si>
  <si>
    <t>6008 Georgia Avenue NW</t>
  </si>
  <si>
    <t>Archdiocese</t>
    <phoneticPr fontId="0"/>
  </si>
  <si>
    <t>Center City PCS-Capitol Hill</t>
  </si>
  <si>
    <t>1503 East Capitol Street SE</t>
  </si>
  <si>
    <t xml:space="preserve">Center City PCS-Congress Heights </t>
  </si>
  <si>
    <t>220 High View Place SE</t>
  </si>
  <si>
    <t>Center City PCS-Petworth</t>
  </si>
  <si>
    <t>510 Webster Street NW</t>
  </si>
  <si>
    <t>Archdiocese</t>
  </si>
  <si>
    <t>Center City PCS-Shaw</t>
  </si>
  <si>
    <t>711 N Street NW</t>
  </si>
  <si>
    <t>Center City PCS-Trinidad</t>
  </si>
  <si>
    <t>1217 West Virginia Avenue NE</t>
  </si>
  <si>
    <t>Cesar Chavez PCS for Public Policy–Capitol Hill</t>
  </si>
  <si>
    <t xml:space="preserve">709 12th Street SE </t>
  </si>
  <si>
    <t>Cesar Chavez PCS for Public Policy–Parkside</t>
  </si>
  <si>
    <t xml:space="preserve">3701 Hayes Street NE </t>
  </si>
  <si>
    <t>New Construction</t>
    <phoneticPr fontId="0"/>
  </si>
  <si>
    <t>Cesar Chavez PCS for Public Policy–Prep</t>
  </si>
  <si>
    <t>770 Kenyon Street NW</t>
  </si>
  <si>
    <t xml:space="preserve">DCPS - Bruce Elem School </t>
  </si>
  <si>
    <t xml:space="preserve">Surplus (closed school) </t>
  </si>
  <si>
    <t>Community Academy PCS-Amos I Elementary</t>
  </si>
  <si>
    <t xml:space="preserve">1300 Allison Street NW </t>
  </si>
  <si>
    <t>DCPS-Burdick</t>
  </si>
  <si>
    <t>Community Academy PCS-Amos II Early Education</t>
  </si>
  <si>
    <t>33 Riggs Road NE</t>
  </si>
  <si>
    <t>DCPS-Keene</t>
  </si>
  <si>
    <t>Community Academy PCS-Amos III Armstrong</t>
  </si>
  <si>
    <t>1400 1st Street NW</t>
  </si>
  <si>
    <t>DCPS-Armstrong</t>
    <phoneticPr fontId="0"/>
  </si>
  <si>
    <t>Community Academy PCS-Butler</t>
  </si>
  <si>
    <t xml:space="preserve">5 Thomas Circle NW </t>
  </si>
  <si>
    <t>Church</t>
    <phoneticPr fontId="0"/>
  </si>
  <si>
    <t>Community Academy PCS-Online</t>
  </si>
  <si>
    <t>NA</t>
  </si>
  <si>
    <t>NA</t>
    <phoneticPr fontId="0"/>
  </si>
  <si>
    <t>Creative PCS</t>
  </si>
  <si>
    <t>3324 16th Street, NW</t>
  </si>
  <si>
    <t>DC Bilingual PCS</t>
  </si>
  <si>
    <t xml:space="preserve">1420 Columbia Road NW </t>
  </si>
  <si>
    <t>CentroNia</t>
    <phoneticPr fontId="0"/>
  </si>
  <si>
    <t>DC Preparatory Academy PCS-Edgewood Elementary</t>
    <phoneticPr fontId="0"/>
  </si>
  <si>
    <t xml:space="preserve">707 Edgewood Street NE </t>
  </si>
  <si>
    <t>Warehouse</t>
    <phoneticPr fontId="0"/>
  </si>
  <si>
    <t>DC Preparatory Academy PCS-Edgewood Middle Campus</t>
  </si>
  <si>
    <t>701 Edgewood Street NE</t>
  </si>
  <si>
    <t>DC Preparatory Academy PCS-Benning Elementary</t>
  </si>
  <si>
    <t>100 41st Street NE</t>
  </si>
  <si>
    <t>DCPS-Benning</t>
    <phoneticPr fontId="0"/>
  </si>
  <si>
    <t>DC Scholars</t>
  </si>
  <si>
    <t>5601 East Capitol Street, SE</t>
  </si>
  <si>
    <t>DCPS-Shadd</t>
  </si>
  <si>
    <t>E.L. Haynes - Georgia Ave</t>
  </si>
  <si>
    <t>3600 Georgia Avenue NW</t>
  </si>
  <si>
    <t>Owned</t>
    <phoneticPr fontId="0"/>
  </si>
  <si>
    <t>E.L. Haynes - Kansas Ave</t>
  </si>
  <si>
    <t>4501 Kansas Avenue NW</t>
  </si>
  <si>
    <t>DCPS -Clark School</t>
  </si>
  <si>
    <t xml:space="preserve">Former School </t>
  </si>
  <si>
    <t>Eagle Academy - The Eagle Center at McGogney</t>
  </si>
  <si>
    <t>3400 Wheeler Road, SE</t>
  </si>
  <si>
    <t>DCPS-McGogney</t>
  </si>
  <si>
    <t>Eagle Academy - New Jersey Ave</t>
  </si>
  <si>
    <t>1017 New Jersey Avenue SE</t>
  </si>
  <si>
    <t>Mixed Use</t>
  </si>
  <si>
    <t>Early Childhood Academy PCS</t>
  </si>
  <si>
    <t>4025 9th Street SE</t>
  </si>
  <si>
    <t>4301 9th Street SE</t>
  </si>
  <si>
    <t>Commercial</t>
    <phoneticPr fontId="0"/>
  </si>
  <si>
    <t>Church?</t>
    <phoneticPr fontId="0"/>
  </si>
  <si>
    <t>Education Strengthen Families</t>
  </si>
  <si>
    <t xml:space="preserve">2333 Ontario Road NW </t>
  </si>
  <si>
    <t>1755 Newton Street, NW</t>
  </si>
  <si>
    <t>3912 Georgia Avenue, NW</t>
  </si>
  <si>
    <t>Elsie Whitlow Stokes Community Freedom PCS</t>
  </si>
  <si>
    <t>3700 Oakview Terrace NE</t>
  </si>
  <si>
    <t>Former Seminary</t>
    <phoneticPr fontId="0"/>
  </si>
  <si>
    <t>Excel Academy PCS</t>
  </si>
  <si>
    <t>2501 Martin Luther King Avenue SE</t>
  </si>
  <si>
    <t>DCPS - Birney Elem</t>
  </si>
  <si>
    <t>Co-location</t>
  </si>
  <si>
    <t>Friendship PCS–Blow Pierce</t>
  </si>
  <si>
    <t xml:space="preserve">725 19th Street NE </t>
  </si>
  <si>
    <t>DCPS-Blow Pierce</t>
  </si>
  <si>
    <t>Friendship PCS–Chamberlain</t>
  </si>
  <si>
    <t xml:space="preserve">1345 Potomac Avenue SE </t>
  </si>
  <si>
    <t>DCPS-Chamberlain</t>
  </si>
  <si>
    <t>Friendship PCS–Collegiate Academy</t>
  </si>
  <si>
    <t xml:space="preserve">4095 Minnesota Avenue NE </t>
  </si>
  <si>
    <t>DCPS-Woodson</t>
  </si>
  <si>
    <t>Friendship PCS–Southeast</t>
  </si>
  <si>
    <t xml:space="preserve">645 Milwaukee Place SE </t>
  </si>
  <si>
    <t>Friendship - Tech Prep</t>
  </si>
  <si>
    <t>620 Milwaukee Place SE</t>
  </si>
  <si>
    <t>Friendship PCS–Woodridge</t>
  </si>
  <si>
    <t xml:space="preserve">2959 Carlton Avenue NE </t>
  </si>
  <si>
    <t>DCPS-Woodridge</t>
  </si>
  <si>
    <t>Hope Community PCS-Lamond</t>
  </si>
  <si>
    <t xml:space="preserve">6200 Kansas Avenue NE </t>
  </si>
  <si>
    <t>Hope Community PCS–Tolson</t>
  </si>
  <si>
    <t>2917 8th Street NE</t>
  </si>
  <si>
    <t>Hospitality High School PCS</t>
  </si>
  <si>
    <t>4301 13th Street NW 3rd Floor</t>
  </si>
  <si>
    <t>DCPS-Roosevelt</t>
  </si>
  <si>
    <t>Howard Road Academy PCS-Pennsylvania Avenue</t>
  </si>
  <si>
    <t>3000 Pennsylvania Avenue SE</t>
  </si>
  <si>
    <t>Howard Road Academy - MLK Middle</t>
  </si>
  <si>
    <t>2405 Martin Luther King Jr Avenue SE</t>
  </si>
  <si>
    <t>Howard Road Academy PCS</t>
  </si>
  <si>
    <t xml:space="preserve">701 Howard Road SE </t>
  </si>
  <si>
    <t>Howard University Middle School for Math and Science</t>
  </si>
  <si>
    <t xml:space="preserve">405 Howard Place NW </t>
  </si>
  <si>
    <t>1027 45th Street NE</t>
  </si>
  <si>
    <t xml:space="preserve">DCPS -Elem </t>
  </si>
  <si>
    <t xml:space="preserve">Owned </t>
  </si>
  <si>
    <t>Ideal Academy PCS</t>
  </si>
  <si>
    <t>6130 North Capitol Street NW</t>
  </si>
  <si>
    <t>Imagine Southeast</t>
  </si>
  <si>
    <t>3100 Martin Luther King Avenue SE</t>
  </si>
  <si>
    <t>Inspired Teaching</t>
  </si>
  <si>
    <t>1328 Florida Avenue NW</t>
  </si>
  <si>
    <t>KIPP DC: KEY Academy</t>
  </si>
  <si>
    <t>4801 Benning Road SE</t>
  </si>
  <si>
    <t>KIPP DC: Promise</t>
  </si>
  <si>
    <t xml:space="preserve">KIPP DC: AIM Academy </t>
  </si>
  <si>
    <t>2600 Douglass Road SE</t>
  </si>
  <si>
    <t xml:space="preserve">DCPS- (Douglass School) </t>
  </si>
  <si>
    <t>KIPP DC: College Prep</t>
  </si>
  <si>
    <t>KIPP DC: Heights</t>
  </si>
  <si>
    <t>KIPP DC: Discover</t>
  </si>
  <si>
    <t>KIPP DC: WILL Academy</t>
  </si>
  <si>
    <t>421 P Street NW 2nd Floor</t>
  </si>
  <si>
    <t>DCPS-Montgomery</t>
  </si>
  <si>
    <t>KIPP DC: Grow</t>
  </si>
  <si>
    <t>KIPP DC: LEAD</t>
  </si>
  <si>
    <t>KIPP DC: LEAP Academy</t>
  </si>
  <si>
    <t>Latin American Montessori Bilingual PCS</t>
  </si>
  <si>
    <t>1600 Taylor Street, NE</t>
  </si>
  <si>
    <t>Incubator</t>
  </si>
  <si>
    <t xml:space="preserve">1375 Missouri Avenue NW </t>
  </si>
  <si>
    <t>DCPS-Military Road</t>
  </si>
  <si>
    <t>LAYC Career Academy PCS</t>
  </si>
  <si>
    <t>3047 15th Street, NW</t>
  </si>
  <si>
    <t>Rents from Next Step</t>
  </si>
  <si>
    <t>Mary McLeod Bethune PCS-Brookland</t>
    <phoneticPr fontId="0"/>
  </si>
  <si>
    <t>1404 Jackson Street NE</t>
  </si>
  <si>
    <t>DCPS-Slowe</t>
  </si>
  <si>
    <t>Maya Angelou PCS-Evans</t>
  </si>
  <si>
    <t xml:space="preserve">5600 East Capitol Street NE </t>
  </si>
  <si>
    <t>DCPS-Evans</t>
  </si>
  <si>
    <t>Maya Angelou PCS Middle</t>
  </si>
  <si>
    <t>DCPS-Fletcher Johnson</t>
  </si>
  <si>
    <t>Meridian PCS</t>
  </si>
  <si>
    <t>2120 13th Street, NW</t>
  </si>
  <si>
    <t>DCPS-Harrison</t>
  </si>
  <si>
    <t>3220 16th Street, NW</t>
  </si>
  <si>
    <t>Rents from Capital City</t>
  </si>
  <si>
    <t>National Collegiate Preparatory</t>
  </si>
  <si>
    <t>4600 Livingston Road, SE</t>
  </si>
  <si>
    <t>Next Step/El Próximo Paso PCS</t>
  </si>
  <si>
    <t>Options PCS</t>
  </si>
  <si>
    <t xml:space="preserve">1375 E Street NE </t>
  </si>
  <si>
    <t>DCPS-Kingsman</t>
  </si>
  <si>
    <t>702 15th Street, NE</t>
  </si>
  <si>
    <t>Paul PCS</t>
  </si>
  <si>
    <t xml:space="preserve">5800 8th Street NW </t>
  </si>
  <si>
    <t>DCPS-Paul</t>
  </si>
  <si>
    <t>Conversion</t>
  </si>
  <si>
    <t>1800 Perry Street, NE</t>
  </si>
  <si>
    <t xml:space="preserve">DCPS- (Taft School) </t>
  </si>
  <si>
    <t>Potomac Lighthouse PCS</t>
  </si>
  <si>
    <t>4401 8th Street NE</t>
  </si>
  <si>
    <t>Richard Wright</t>
  </si>
  <si>
    <t>770 M Street, SE 2nd Floor</t>
  </si>
  <si>
    <t>Roots PCS</t>
  </si>
  <si>
    <t xml:space="preserve">15 Kennedy Street NW </t>
  </si>
  <si>
    <t>6222 North Capitol Street, NW</t>
  </si>
  <si>
    <t>The SEED School of Washington DC PCS</t>
  </si>
  <si>
    <t xml:space="preserve">4300 C Street SE </t>
  </si>
  <si>
    <t>DCPS- Weatherless School</t>
  </si>
  <si>
    <t>Septima Clark PCS</t>
  </si>
  <si>
    <t>St. Coletta of Greater Washington PCS</t>
  </si>
  <si>
    <t xml:space="preserve">1901 Independence Avenue SE </t>
  </si>
  <si>
    <t>Shining Stars Montessori</t>
  </si>
  <si>
    <t>Thurgood Marshall Academy PCS</t>
  </si>
  <si>
    <t xml:space="preserve">2427 Martin Luther King Jr Avenue SE </t>
  </si>
  <si>
    <t>DCPS-Nichols Avenue</t>
  </si>
  <si>
    <t>Tree of Life Community PCS</t>
  </si>
  <si>
    <t xml:space="preserve">2315 18th Street NE </t>
  </si>
  <si>
    <t>Two Rivers - Elementary</t>
  </si>
  <si>
    <t>1227 4th Street NE</t>
  </si>
  <si>
    <t>Two Rivers - Middle</t>
  </si>
  <si>
    <t>1234 4th Street NE</t>
  </si>
  <si>
    <t>Washington Latin PCS-Upper School</t>
  </si>
  <si>
    <t>4715 16th Street NW</t>
    <phoneticPr fontId="0"/>
  </si>
  <si>
    <t>Washington Latin PCS-Lower School</t>
  </si>
  <si>
    <t>4115 16th Street NW</t>
  </si>
  <si>
    <t xml:space="preserve">Church </t>
  </si>
  <si>
    <t>Washington Math Science Technology PCS</t>
  </si>
  <si>
    <t>1920 Bladensburg Road NE</t>
  </si>
  <si>
    <t xml:space="preserve">Washington Yu Ying PCS </t>
  </si>
  <si>
    <t>220 Taylor Street NE</t>
  </si>
  <si>
    <t>William E. Doar Jr. PCS for the Performing Arts-Edgewood</t>
  </si>
  <si>
    <t>705 Edgewood Street NE</t>
  </si>
  <si>
    <t>Youth Build PCS</t>
  </si>
  <si>
    <t xml:space="preserve">3014 14th Street NW </t>
  </si>
  <si>
    <t>KIPP DC: SPRING Academy</t>
  </si>
  <si>
    <t>KIPP DC: CONNECT Academy</t>
  </si>
  <si>
    <t>Campus/ Facility Name</t>
  </si>
  <si>
    <t>PK3</t>
  </si>
  <si>
    <t>PK4</t>
  </si>
  <si>
    <t>KG</t>
  </si>
  <si>
    <t>Alternative</t>
  </si>
  <si>
    <t>Special Ed Schools</t>
  </si>
  <si>
    <t>Adult</t>
  </si>
  <si>
    <t>Blank</t>
  </si>
  <si>
    <t>Total</t>
  </si>
  <si>
    <t>FY2014 Enrollment ceiling</t>
  </si>
  <si>
    <t>Notes</t>
  </si>
  <si>
    <t>Achievement Preparatory Academy PCS</t>
  </si>
  <si>
    <t>AppleTree Early Learning Center PCS-Amidon Campus</t>
  </si>
  <si>
    <t>May expand down to PK3</t>
  </si>
  <si>
    <t>AppleTree Early Learning Center PCS-Columbia Heights Campus</t>
  </si>
  <si>
    <t>Wants to expand Amidon</t>
  </si>
  <si>
    <t>AppleTree Early Learning Center PCS-Douglass Knoll Campus</t>
  </si>
  <si>
    <t>AppleTree Early Learning Center PCS-Lincoln Park Campus</t>
  </si>
  <si>
    <t>AppleTree Early Learning Center PCS-Oklahoma Avenue Campus</t>
  </si>
  <si>
    <t>AppleTree Early Learning Center PCS-Parklands Campus</t>
  </si>
  <si>
    <t>AppleTree Early Learning Center PCS-Riverside Campus</t>
  </si>
  <si>
    <t>Arts and Technology PCS</t>
  </si>
  <si>
    <t>Tier 3</t>
  </si>
  <si>
    <t>Basis DC PCS</t>
  </si>
  <si>
    <t>expanding a grade a year through grade 12; likely will want to add additional campuses</t>
  </si>
  <si>
    <t>expanding a grade a year through grade 5</t>
  </si>
  <si>
    <t>Capital City PCS-Lower School Campus</t>
  </si>
  <si>
    <t>Capital City PCS- Middle School Campus</t>
  </si>
  <si>
    <t>Capital City PCS- High School Campus</t>
  </si>
  <si>
    <t>Carlos Rosario International PCS- Harvard Campus</t>
  </si>
  <si>
    <t xml:space="preserve">Carlos Rosario International PCS- V Street Campus </t>
  </si>
  <si>
    <t>opening the new Sonia Gutierrz campus at 514 V Street NE (August 2013)</t>
  </si>
  <si>
    <t>Center City PCS-Brightwood Campus</t>
  </si>
  <si>
    <t>Center City PCS- Capitol Hill Campus</t>
  </si>
  <si>
    <t>Center City PCS-Congress Heights Campus</t>
  </si>
  <si>
    <t>Center City PCS- Petworth Campus</t>
  </si>
  <si>
    <t>Center City PCS- Shaw Campus</t>
  </si>
  <si>
    <t>Center City PCS- Trinidad Campus</t>
  </si>
  <si>
    <t>Cesar Chavez PCS for Public Policy-Capital Hill Campus</t>
  </si>
  <si>
    <t>Cesar Chavez PCS for Public Policy-Chavez Prep Campus</t>
  </si>
  <si>
    <t>Cesar Chavez PCS for Public Policy- Parkside High School Campus</t>
  </si>
  <si>
    <t>Cesar Chavez PCS for Public Policy-Parkside Middle School Campus</t>
  </si>
  <si>
    <t>Community Academy PCS-Amos 1 Campus</t>
  </si>
  <si>
    <t>Community Academy PCS- Amos 2 Campus</t>
  </si>
  <si>
    <t>Community Academy PCS- Amos 3 Campus</t>
  </si>
  <si>
    <t>Amos 3 is Tier 3; closing the middle school</t>
  </si>
  <si>
    <t>Community Academy PCS-Butler Campus</t>
  </si>
  <si>
    <t>Community Academy PCS- CAPCS Online Campus</t>
  </si>
  <si>
    <t>Are these fulltime ??</t>
  </si>
  <si>
    <t xml:space="preserve">Community College Preparatory Academy </t>
  </si>
  <si>
    <t>Creative Minds International PCS</t>
  </si>
  <si>
    <t>expanding a grade a year through fifth; adding second K class</t>
  </si>
  <si>
    <t>D.C. Bilingual PCS</t>
  </si>
  <si>
    <t>adding a grade a year through 8th; DCI</t>
  </si>
  <si>
    <t>D.C. Preparatory Academy PCS- Benning Elementary Campus</t>
  </si>
  <si>
    <t>Benning road adding 4th in 13-14 and a grade a year through 8th grade;</t>
  </si>
  <si>
    <t>D.C. Preparatory Academy PCS- Benning Middle Campus</t>
  </si>
  <si>
    <t>D.C. Preparatory Academy PCS-Edgewood Elementary Campus</t>
  </si>
  <si>
    <t>Edgewood full</t>
  </si>
  <si>
    <t>D.C. Preparatory Academy PCS-Edgewood Middle Campus</t>
  </si>
  <si>
    <t>DC Scholars PCS</t>
  </si>
  <si>
    <t>adding a grade a year through fifth grade;eventually would like to growth through 8th</t>
  </si>
  <si>
    <t>E L  Haynes PCS- Georgia Avenue Campus</t>
  </si>
  <si>
    <t>adding a grade a year through 12;accepts new three year olds; 50 6th graders and 30 9th graders</t>
  </si>
  <si>
    <t>E L  Haynes PCS - Kansas Avenue Campus</t>
  </si>
  <si>
    <t>Eagle Academy PCS - The Eagle Center at McGogney Campus</t>
  </si>
  <si>
    <t>Eagle Academy PCS - New Jersey Avenue Campus</t>
  </si>
  <si>
    <t>Early Childhood Academy PCS- Joenning Facility</t>
  </si>
  <si>
    <t>Early Childhood Academy PCS- Walter Washington Facility</t>
  </si>
  <si>
    <t>Education Strengthens Families PCS</t>
  </si>
  <si>
    <t>Elsie Whitlow Stokes Communtiy Freedom PCS</t>
  </si>
  <si>
    <t>DCI</t>
  </si>
  <si>
    <t>Adding 5th grade; two classrooms</t>
  </si>
  <si>
    <t>Friendship PCS- Blow Pierce Elementary &amp; Middle Campus</t>
  </si>
  <si>
    <t>Friendship PCS-Chamberlain Elementary &amp; Middle Campus</t>
  </si>
  <si>
    <t>Friendship PCS- Collegiate Academy Campus</t>
  </si>
  <si>
    <t>Friendship PCS- Southeast Elementary Campus</t>
  </si>
  <si>
    <t>Friendship PCS- Tech Preparatory Academy Campus</t>
  </si>
  <si>
    <t>Friendship PCS- Woodridge Elementary &amp; Middle Campus</t>
  </si>
  <si>
    <t>Hope Community Academy PCS-Lamond Campus</t>
  </si>
  <si>
    <t>Hope Community Academy PCS-Tolson Campus</t>
  </si>
  <si>
    <t>Hospitality PCS</t>
  </si>
  <si>
    <t>Howard Road Academy PCS- Howard Road Main Campus</t>
  </si>
  <si>
    <t>Howard Road Academy PCS-Martin Luther King Jr. Avenue Middle School Campus</t>
  </si>
  <si>
    <t>Howard Road Academy PCS-Pennsylvania Avenue Campus</t>
  </si>
  <si>
    <t>Howard University Middle School of Math and Science PCS</t>
  </si>
  <si>
    <t>Imagine Southeast PCS</t>
  </si>
  <si>
    <t>Ingenuity Prep PCS</t>
  </si>
  <si>
    <t>adding a grade a year through fifth;long term goal to go through 12th</t>
  </si>
  <si>
    <t>Inspired Teaching Demonstration PCS</t>
  </si>
  <si>
    <t>adding a grade a year through 8th</t>
  </si>
  <si>
    <t>Integrated Design Electronics Academy (IDEA) PCS</t>
  </si>
  <si>
    <t>KIPP DC PCS- AIM Academy Campus</t>
  </si>
  <si>
    <t>adding Webb pod (pk3-8); expanding HS; seeking a fifth pod</t>
  </si>
  <si>
    <t>KIPP DC PCS-College Preparatory Campus</t>
  </si>
  <si>
    <t>KIPP DC PCS-Connect Academy Campus</t>
  </si>
  <si>
    <t>KIPP DC PCS- Discover Academy Campus</t>
  </si>
  <si>
    <t>KIPP DC PCS- Grow Academy Campus</t>
  </si>
  <si>
    <t>KIPP DC PCS-Height Academy Campus</t>
  </si>
  <si>
    <t>KIPP DC PCS-KEY Academy Campus</t>
  </si>
  <si>
    <t>KIPP DC PCS - Lead Academy Campus</t>
  </si>
  <si>
    <t xml:space="preserve">KIPP DC PCS-LEAP Academy Campus </t>
  </si>
  <si>
    <t>KIPP DC PCS-Promise Academy Campus</t>
  </si>
  <si>
    <t>KIPP DC PCS- Spring Academy Campus</t>
  </si>
  <si>
    <t>KIPP DC PCS-WILL Academy Campus</t>
  </si>
  <si>
    <t>Latin America Youth Center (LAYC) Career Academy PCS</t>
  </si>
  <si>
    <t>Latin American Montessori Bilingual (LAMB) PCS-Missouri Avenue Facility</t>
  </si>
  <si>
    <t>Latin American Montessori Bilingual (LAMB) PCS-Taylor Street Facility</t>
  </si>
  <si>
    <t>Mary McLeod Bethune Day Academy PCS</t>
  </si>
  <si>
    <t>Maya Angelou PCS- Evans Campus</t>
  </si>
  <si>
    <t>the Young Adult Center is doubling its enrollment - moving to a new facility</t>
  </si>
  <si>
    <t xml:space="preserve">Maya Angelou PCS-Middle Campus </t>
  </si>
  <si>
    <t xml:space="preserve">Maya Angelou PCS-Young Adult Learning Center </t>
  </si>
  <si>
    <t>Mundo Verde Bilingual PCS</t>
  </si>
  <si>
    <t>adding 2nd grade; 4th/5th grade classrooms; DCI consideration as well</t>
  </si>
  <si>
    <t>National Collegiate Preparatory PCS</t>
  </si>
  <si>
    <t>considering expansion to absorb additional SPED students</t>
  </si>
  <si>
    <t>adding a grade a year through 12th</t>
  </si>
  <si>
    <t>Perry Street Prep PCS</t>
  </si>
  <si>
    <t>Richard Wright PCS for Journalism and Media Arts</t>
  </si>
  <si>
    <t>School for Educational Evolution and Development (SEED) PCS</t>
  </si>
  <si>
    <t xml:space="preserve"> Sela PCS  </t>
  </si>
  <si>
    <t>adding a grade a year through 5th (8th?)</t>
  </si>
  <si>
    <t>Shining Stars Montessori PCS</t>
  </si>
  <si>
    <t>adding a grade a year through fifth</t>
  </si>
  <si>
    <t>Somerset Preparatory Academy PCS</t>
  </si>
  <si>
    <t>adding a grade a year through 12; (not authorized through 9th grade)</t>
  </si>
  <si>
    <t>St. Coletta Special Education PCS</t>
  </si>
  <si>
    <t>Expanding?</t>
  </si>
  <si>
    <t>The Next Step PCS</t>
  </si>
  <si>
    <t>The Next Step PCS- Adult</t>
  </si>
  <si>
    <t>considering expansion</t>
  </si>
  <si>
    <t>Tree of Life PCS</t>
  </si>
  <si>
    <t>Two Rivers PCS-Elementary Facility</t>
  </si>
  <si>
    <t xml:space="preserve">Two Rivers PCS-Middle School Facility </t>
  </si>
  <si>
    <t>Washington Latin PCS High Facility</t>
  </si>
  <si>
    <t>Washington Latin PCS Middle Facility</t>
  </si>
  <si>
    <t>Washington Math Science &amp; Technology (WMST) PCS</t>
  </si>
  <si>
    <t>Washington Yu Ying PCS</t>
  </si>
  <si>
    <t>chartered through grade 12; DCI</t>
  </si>
  <si>
    <t>William E. Doar Jr PCS for the Performing Arts</t>
  </si>
  <si>
    <t>YouthBuild PCS</t>
  </si>
  <si>
    <t>AppleTree Early Learning Center PCS</t>
  </si>
  <si>
    <t>FY14 Projections</t>
  </si>
  <si>
    <t>Center City PCS</t>
  </si>
  <si>
    <t>Cesar Chavez PCS for Public Policy</t>
  </si>
  <si>
    <t>Community Academy PCS</t>
  </si>
  <si>
    <t>D.C. Preparatory Academy PCS</t>
  </si>
  <si>
    <t>E L  Haynes PCS</t>
  </si>
  <si>
    <t>Eagle Academy PCS</t>
  </si>
  <si>
    <t>Friendship PCS</t>
  </si>
  <si>
    <t>Hope Community Academy PCS</t>
  </si>
  <si>
    <t>KIPP DC PCS</t>
  </si>
  <si>
    <t>Latin American Montessori Bilingual (LAMB) PCS</t>
  </si>
  <si>
    <t>Maya Angelou PCS</t>
  </si>
  <si>
    <t>Two Rivers PCS</t>
  </si>
  <si>
    <t xml:space="preserve">Washington Latin PCS </t>
  </si>
  <si>
    <t>will not be allowed to expand</t>
  </si>
  <si>
    <t>will not be allowed to expand; no increase request submitted</t>
  </si>
  <si>
    <t>will not be allowed to expand; increase request submitted</t>
  </si>
  <si>
    <t>will not be allowed to expand; increase request not submitted</t>
  </si>
  <si>
    <t xml:space="preserve">Need to verify this ceiling?  RF - school will not be allowed to expand if projections exceeed ceiling </t>
  </si>
  <si>
    <t>FY14 (Projected)</t>
  </si>
  <si>
    <t>% of Total Leased Facilities Costs</t>
  </si>
  <si>
    <t>% of Total Owned Facilities Costs</t>
  </si>
  <si>
    <t>will be allowed to expand; increase request submitted; ceiling will be adjusted upwards after board approval</t>
  </si>
  <si>
    <r>
      <t xml:space="preserve">Note 2:  Data for the following schools was inconclusive for this reporting:  Community College Prep PCS (new for FY14), </t>
    </r>
    <r>
      <rPr>
        <sz val="10"/>
        <rFont val="Times New Roman"/>
        <family val="1"/>
        <charset val="204"/>
      </rPr>
      <t xml:space="preserve">Friendship PCS, Ideal Academy PCS, </t>
    </r>
    <r>
      <rPr>
        <sz val="10"/>
        <rFont val="Times New Roman"/>
        <family val="1"/>
        <charset val="204"/>
      </rPr>
      <t xml:space="preserve">Ingenuity Prep PCS (new for FY14), </t>
    </r>
    <r>
      <rPr>
        <sz val="10"/>
        <rFont val="Times New Roman"/>
        <family val="1"/>
        <charset val="204"/>
      </rPr>
      <t xml:space="preserve">Inspired Teaching PCS, Meridian PCS, </t>
    </r>
    <r>
      <rPr>
        <sz val="10"/>
        <rFont val="Times New Roman"/>
        <family val="1"/>
        <charset val="204"/>
      </rPr>
      <t>Sela PCS (new for FY14), Shining Stars PCS, Somerset PCS (new for FY14) and</t>
    </r>
    <r>
      <rPr>
        <sz val="10"/>
        <rFont val="Times New Roman"/>
        <family val="1"/>
        <charset val="204"/>
      </rPr>
      <t xml:space="preserve"> Youthbuild PCS.</t>
    </r>
  </si>
  <si>
    <t>FY12 (Actuals)</t>
  </si>
  <si>
    <t>Community College Prep PCS</t>
  </si>
  <si>
    <t>Igenuity Prep PCS</t>
  </si>
  <si>
    <t>Sela PCS</t>
  </si>
  <si>
    <t>Somerset PCS</t>
  </si>
  <si>
    <t>Utilities and Maintenance costs cover multiple campuses and may seem inflated relative to other occupancy expenditures which may be unique to a subset of the LEA's campuses</t>
  </si>
  <si>
    <t>LEA Name</t>
  </si>
  <si>
    <t>Note 3:  All date elements are based on projections made by schools last December 2012.  Schools are required to provide updated FY2014 budget data to PCSB on/by June 1,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</si>
</sst>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0.0%"/>
    <numFmt numFmtId="168" formatCode="&quot;$&quot;#,##0;\-&quot;$&quot;#,##0"/>
    <numFmt numFmtId="169" formatCode="&quot;$&quot;#,##0"/>
    <numFmt numFmtId="170" formatCode="&quot;$&quot;#,##0.00"/>
    <numFmt numFmtId="171" formatCode="0.000"/>
  </numFmts>
  <fonts count="4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color indexed="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  <charset val="20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vertAlign val="superscript"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Verdana"/>
    </font>
    <font>
      <sz val="12"/>
      <name val="Times New Roman"/>
    </font>
    <font>
      <sz val="12"/>
      <color indexed="8"/>
      <name val="Times New Roman"/>
    </font>
    <font>
      <sz val="12"/>
      <color rgb="FF000000"/>
      <name val="Times New Roman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7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8" fillId="0" borderId="0"/>
    <xf numFmtId="0" fontId="9" fillId="2" borderId="1" applyNumberFormat="0" applyFont="0" applyBorder="0" applyAlignment="0">
      <alignment vertical="center"/>
    </xf>
    <xf numFmtId="0" fontId="3" fillId="0" borderId="0"/>
    <xf numFmtId="3" fontId="3" fillId="2" borderId="2" applyFill="0" applyBorder="0" applyAlignment="0" applyProtection="0">
      <alignment vertical="top"/>
    </xf>
    <xf numFmtId="9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Border="0" applyAlignment="0"/>
    <xf numFmtId="0" fontId="12" fillId="0" borderId="0" applyNumberFormat="0" applyBorder="0" applyAlignment="0"/>
    <xf numFmtId="0" fontId="13" fillId="0" borderId="0" applyNumberFormat="0" applyBorder="0" applyAlignment="0"/>
    <xf numFmtId="0" fontId="14" fillId="0" borderId="0" applyNumberFormat="0" applyBorder="0" applyAlignment="0"/>
    <xf numFmtId="0" fontId="15" fillId="0" borderId="0" applyNumberFormat="0" applyBorder="0" applyAlignment="0"/>
    <xf numFmtId="37" fontId="11" fillId="0" borderId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42" fillId="0" borderId="0"/>
    <xf numFmtId="0" fontId="25" fillId="0" borderId="0"/>
    <xf numFmtId="0" fontId="42" fillId="0" borderId="0"/>
    <xf numFmtId="0" fontId="1" fillId="0" borderId="0">
      <alignment vertical="center"/>
    </xf>
    <xf numFmtId="0" fontId="1" fillId="0" borderId="0">
      <alignment vertical="center"/>
    </xf>
    <xf numFmtId="0" fontId="42" fillId="9" borderId="1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164" fontId="0" fillId="0" borderId="3" xfId="3" applyNumberFormat="1" applyFont="1" applyBorder="1"/>
    <xf numFmtId="164" fontId="0" fillId="0" borderId="0" xfId="3" applyNumberFormat="1" applyFont="1"/>
    <xf numFmtId="165" fontId="2" fillId="0" borderId="3" xfId="1" applyNumberFormat="1" applyFont="1" applyBorder="1" applyAlignment="1">
      <alignment horizontal="center"/>
    </xf>
    <xf numFmtId="165" fontId="1" fillId="0" borderId="3" xfId="1" applyNumberFormat="1" applyFont="1" applyBorder="1"/>
    <xf numFmtId="43" fontId="1" fillId="0" borderId="0" xfId="1" applyFont="1"/>
    <xf numFmtId="43" fontId="0" fillId="0" borderId="0" xfId="0" applyNumberFormat="1"/>
    <xf numFmtId="165" fontId="0" fillId="0" borderId="0" xfId="0" applyNumberFormat="1"/>
    <xf numFmtId="0" fontId="7" fillId="0" borderId="0" xfId="0" applyFont="1"/>
    <xf numFmtId="40" fontId="2" fillId="0" borderId="3" xfId="0" applyNumberFormat="1" applyFont="1" applyBorder="1" applyAlignment="1">
      <alignment horizontal="center" wrapText="1"/>
    </xf>
    <xf numFmtId="40" fontId="2" fillId="0" borderId="3" xfId="0" applyNumberFormat="1" applyFont="1" applyBorder="1" applyAlignment="1">
      <alignment horizontal="center"/>
    </xf>
    <xf numFmtId="40" fontId="3" fillId="0" borderId="3" xfId="0" applyNumberFormat="1" applyFont="1" applyBorder="1" applyAlignment="1">
      <alignment horizontal="right"/>
    </xf>
    <xf numFmtId="40" fontId="0" fillId="0" borderId="0" xfId="0" applyNumberFormat="1"/>
    <xf numFmtId="164" fontId="1" fillId="0" borderId="3" xfId="3" applyNumberFormat="1" applyBorder="1"/>
    <xf numFmtId="165" fontId="1" fillId="0" borderId="0" xfId="1" applyNumberFormat="1"/>
    <xf numFmtId="0" fontId="3" fillId="0" borderId="0" xfId="0" applyFont="1" applyFill="1" applyBorder="1"/>
    <xf numFmtId="44" fontId="1" fillId="0" borderId="0" xfId="3"/>
    <xf numFmtId="164" fontId="1" fillId="0" borderId="0" xfId="3" applyNumberFormat="1"/>
    <xf numFmtId="43" fontId="3" fillId="0" borderId="3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0" fillId="0" borderId="3" xfId="0" applyNumberFormat="1" applyBorder="1"/>
    <xf numFmtId="43" fontId="3" fillId="0" borderId="3" xfId="0" applyNumberFormat="1" applyFont="1" applyBorder="1"/>
    <xf numFmtId="43" fontId="0" fillId="0" borderId="3" xfId="0" applyNumberFormat="1" applyFill="1" applyBorder="1"/>
    <xf numFmtId="43" fontId="3" fillId="0" borderId="4" xfId="0" applyNumberFormat="1" applyFont="1" applyBorder="1"/>
    <xf numFmtId="43" fontId="0" fillId="0" borderId="4" xfId="0" applyNumberFormat="1" applyBorder="1"/>
    <xf numFmtId="43" fontId="2" fillId="0" borderId="5" xfId="0" applyNumberFormat="1" applyFont="1" applyBorder="1"/>
    <xf numFmtId="43" fontId="2" fillId="0" borderId="4" xfId="0" applyNumberFormat="1" applyFont="1" applyBorder="1"/>
    <xf numFmtId="3" fontId="0" fillId="0" borderId="0" xfId="0" applyNumberFormat="1"/>
    <xf numFmtId="165" fontId="1" fillId="0" borderId="0" xfId="1" applyNumberFormat="1" applyFont="1"/>
    <xf numFmtId="164" fontId="1" fillId="0" borderId="0" xfId="3" applyNumberFormat="1" applyFont="1"/>
    <xf numFmtId="164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/>
    <xf numFmtId="164" fontId="1" fillId="0" borderId="3" xfId="3" applyNumberFormat="1" applyFont="1" applyBorder="1"/>
    <xf numFmtId="0" fontId="3" fillId="3" borderId="0" xfId="0" applyFont="1" applyFill="1"/>
    <xf numFmtId="165" fontId="1" fillId="3" borderId="0" xfId="1" applyNumberFormat="1" applyFont="1" applyFill="1"/>
    <xf numFmtId="0" fontId="2" fillId="0" borderId="3" xfId="0" applyFont="1" applyBorder="1" applyAlignment="1">
      <alignment horizontal="right" wrapText="1"/>
    </xf>
    <xf numFmtId="44" fontId="2" fillId="0" borderId="3" xfId="3" applyFont="1" applyBorder="1" applyAlignment="1">
      <alignment horizontal="right"/>
    </xf>
    <xf numFmtId="7" fontId="2" fillId="0" borderId="3" xfId="3" applyNumberFormat="1" applyFont="1" applyBorder="1" applyAlignment="1">
      <alignment horizontal="right"/>
    </xf>
    <xf numFmtId="0" fontId="0" fillId="0" borderId="0" xfId="0" applyAlignment="1">
      <alignment horizontal="right"/>
    </xf>
    <xf numFmtId="44" fontId="1" fillId="0" borderId="0" xfId="3" applyFont="1"/>
    <xf numFmtId="170" fontId="2" fillId="0" borderId="3" xfId="0" applyNumberFormat="1" applyFont="1" applyBorder="1" applyAlignment="1">
      <alignment horizontal="center" wrapText="1"/>
    </xf>
    <xf numFmtId="170" fontId="0" fillId="0" borderId="3" xfId="0" applyNumberFormat="1" applyBorder="1"/>
    <xf numFmtId="170" fontId="0" fillId="0" borderId="0" xfId="0" applyNumberFormat="1"/>
    <xf numFmtId="44" fontId="3" fillId="0" borderId="3" xfId="3" applyFont="1" applyBorder="1" applyAlignment="1">
      <alignment horizontal="center"/>
    </xf>
    <xf numFmtId="44" fontId="3" fillId="0" borderId="3" xfId="3" applyFont="1" applyFill="1" applyBorder="1"/>
    <xf numFmtId="44" fontId="3" fillId="0" borderId="3" xfId="3" applyFont="1" applyBorder="1"/>
    <xf numFmtId="44" fontId="16" fillId="0" borderId="6" xfId="3" applyFont="1" applyFill="1" applyBorder="1" applyAlignment="1">
      <alignment horizontal="centerContinuous"/>
    </xf>
    <xf numFmtId="44" fontId="16" fillId="0" borderId="7" xfId="3" applyFont="1" applyFill="1" applyBorder="1" applyAlignment="1">
      <alignment horizontal="centerContinuous"/>
    </xf>
    <xf numFmtId="44" fontId="16" fillId="0" borderId="8" xfId="3" applyFont="1" applyFill="1" applyBorder="1" applyAlignment="1">
      <alignment horizontal="centerContinuous"/>
    </xf>
    <xf numFmtId="44" fontId="2" fillId="0" borderId="3" xfId="3" applyFont="1" applyBorder="1"/>
    <xf numFmtId="44" fontId="0" fillId="0" borderId="0" xfId="0" applyNumberFormat="1"/>
    <xf numFmtId="165" fontId="1" fillId="0" borderId="3" xfId="1" applyNumberFormat="1" applyBorder="1"/>
    <xf numFmtId="2" fontId="0" fillId="0" borderId="0" xfId="0" applyNumberFormat="1"/>
    <xf numFmtId="164" fontId="3" fillId="0" borderId="3" xfId="3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center"/>
    </xf>
    <xf numFmtId="164" fontId="2" fillId="0" borderId="3" xfId="3" applyNumberFormat="1" applyFont="1" applyBorder="1"/>
    <xf numFmtId="0" fontId="0" fillId="0" borderId="0" xfId="0" applyBorder="1"/>
    <xf numFmtId="4" fontId="3" fillId="0" borderId="3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4" fontId="0" fillId="0" borderId="0" xfId="0" applyNumberFormat="1" applyBorder="1"/>
    <xf numFmtId="0" fontId="0" fillId="0" borderId="0" xfId="0" applyFill="1" applyBorder="1"/>
    <xf numFmtId="4" fontId="0" fillId="0" borderId="0" xfId="0" applyNumberFormat="1"/>
    <xf numFmtId="1" fontId="3" fillId="0" borderId="0" xfId="0" applyNumberFormat="1" applyFont="1" applyAlignment="1">
      <alignment horizontal="right"/>
    </xf>
    <xf numFmtId="1" fontId="0" fillId="0" borderId="0" xfId="0" applyNumberFormat="1"/>
    <xf numFmtId="4" fontId="3" fillId="0" borderId="0" xfId="0" applyNumberFormat="1" applyFont="1" applyAlignment="1">
      <alignment horizontal="right"/>
    </xf>
    <xf numFmtId="44" fontId="3" fillId="0" borderId="3" xfId="3" applyFont="1" applyBorder="1" applyAlignment="1">
      <alignment horizontal="right"/>
    </xf>
    <xf numFmtId="44" fontId="2" fillId="0" borderId="3" xfId="3" applyFont="1" applyBorder="1" applyAlignment="1">
      <alignment horizontal="center"/>
    </xf>
    <xf numFmtId="44" fontId="1" fillId="0" borderId="3" xfId="3" applyBorder="1"/>
    <xf numFmtId="165" fontId="3" fillId="0" borderId="3" xfId="1" applyNumberFormat="1" applyFont="1" applyBorder="1" applyAlignment="1"/>
    <xf numFmtId="0" fontId="3" fillId="0" borderId="3" xfId="0" applyFont="1" applyBorder="1" applyAlignment="1">
      <alignment horizontal="right"/>
    </xf>
    <xf numFmtId="165" fontId="2" fillId="0" borderId="3" xfId="1" applyNumberFormat="1" applyFont="1" applyBorder="1"/>
    <xf numFmtId="0" fontId="3" fillId="0" borderId="0" xfId="0" quotePrefix="1" applyFont="1"/>
    <xf numFmtId="3" fontId="2" fillId="0" borderId="3" xfId="0" applyNumberFormat="1" applyFont="1" applyBorder="1" applyAlignment="1">
      <alignment horizontal="center"/>
    </xf>
    <xf numFmtId="3" fontId="0" fillId="0" borderId="3" xfId="0" applyNumberFormat="1" applyBorder="1"/>
    <xf numFmtId="165" fontId="3" fillId="0" borderId="3" xfId="1" applyNumberFormat="1" applyFont="1" applyBorder="1" applyAlignment="1">
      <alignment horizontal="left"/>
    </xf>
    <xf numFmtId="165" fontId="1" fillId="0" borderId="3" xfId="1" applyNumberFormat="1" applyFont="1" applyBorder="1" applyAlignment="1">
      <alignment horizontal="left"/>
    </xf>
    <xf numFmtId="170" fontId="3" fillId="0" borderId="3" xfId="0" applyNumberFormat="1" applyFont="1" applyBorder="1" applyAlignment="1">
      <alignment horizontal="right"/>
    </xf>
    <xf numFmtId="170" fontId="3" fillId="0" borderId="3" xfId="0" applyNumberFormat="1" applyFont="1" applyBorder="1"/>
    <xf numFmtId="43" fontId="3" fillId="0" borderId="3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1" fillId="0" borderId="3" xfId="1" applyBorder="1"/>
    <xf numFmtId="43" fontId="1" fillId="0" borderId="3" xfId="1" applyFill="1" applyBorder="1"/>
    <xf numFmtId="43" fontId="1" fillId="0" borderId="0" xfId="1"/>
    <xf numFmtId="43" fontId="2" fillId="0" borderId="3" xfId="1" applyFont="1" applyBorder="1"/>
    <xf numFmtId="0" fontId="0" fillId="0" borderId="9" xfId="0" applyFill="1" applyBorder="1"/>
    <xf numFmtId="43" fontId="1" fillId="0" borderId="3" xfId="1" applyFont="1" applyBorder="1"/>
    <xf numFmtId="0" fontId="21" fillId="0" borderId="0" xfId="0" applyFont="1" applyAlignment="1">
      <alignment wrapText="1"/>
    </xf>
    <xf numFmtId="165" fontId="20" fillId="0" borderId="0" xfId="1" applyNumberFormat="1" applyFont="1"/>
    <xf numFmtId="165" fontId="22" fillId="0" borderId="0" xfId="1" applyNumberFormat="1" applyFont="1"/>
    <xf numFmtId="169" fontId="3" fillId="0" borderId="3" xfId="0" applyNumberFormat="1" applyFont="1" applyBorder="1" applyAlignment="1">
      <alignment horizontal="right"/>
    </xf>
    <xf numFmtId="0" fontId="0" fillId="0" borderId="0" xfId="0" quotePrefix="1"/>
    <xf numFmtId="165" fontId="3" fillId="0" borderId="3" xfId="1" applyNumberFormat="1" applyFont="1" applyBorder="1"/>
    <xf numFmtId="0" fontId="23" fillId="0" borderId="10" xfId="0" applyFont="1" applyFill="1" applyBorder="1" applyAlignment="1">
      <alignment horizontal="left"/>
    </xf>
    <xf numFmtId="43" fontId="2" fillId="0" borderId="3" xfId="1" applyFont="1" applyBorder="1" applyAlignment="1">
      <alignment horizontal="right"/>
    </xf>
    <xf numFmtId="43" fontId="1" fillId="0" borderId="3" xfId="1" applyFont="1" applyBorder="1" applyAlignment="1">
      <alignment horizontal="right"/>
    </xf>
    <xf numFmtId="0" fontId="23" fillId="0" borderId="0" xfId="0" applyFont="1"/>
    <xf numFmtId="171" fontId="0" fillId="0" borderId="0" xfId="0" applyNumberFormat="1"/>
    <xf numFmtId="166" fontId="0" fillId="0" borderId="0" xfId="0" applyNumberFormat="1"/>
    <xf numFmtId="0" fontId="2" fillId="0" borderId="3" xfId="0" applyFont="1" applyFill="1" applyBorder="1"/>
    <xf numFmtId="39" fontId="0" fillId="0" borderId="0" xfId="0" applyNumberFormat="1"/>
    <xf numFmtId="39" fontId="3" fillId="0" borderId="3" xfId="0" applyNumberFormat="1" applyFont="1" applyBorder="1" applyAlignment="1">
      <alignment horizontal="right"/>
    </xf>
    <xf numFmtId="39" fontId="0" fillId="0" borderId="3" xfId="0" applyNumberFormat="1" applyBorder="1"/>
    <xf numFmtId="39" fontId="0" fillId="0" borderId="3" xfId="0" quotePrefix="1" applyNumberFormat="1" applyBorder="1"/>
    <xf numFmtId="39" fontId="0" fillId="0" borderId="3" xfId="0" applyNumberFormat="1" applyFill="1" applyBorder="1"/>
    <xf numFmtId="39" fontId="0" fillId="0" borderId="3" xfId="0" quotePrefix="1" applyNumberForma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41" fontId="0" fillId="0" borderId="3" xfId="0" applyNumberFormat="1" applyBorder="1"/>
    <xf numFmtId="41" fontId="0" fillId="0" borderId="0" xfId="0" applyNumberFormat="1"/>
    <xf numFmtId="0" fontId="1" fillId="0" borderId="3" xfId="0" applyFont="1" applyBorder="1"/>
    <xf numFmtId="0" fontId="1" fillId="0" borderId="0" xfId="0" applyFont="1"/>
    <xf numFmtId="43" fontId="1" fillId="0" borderId="0" xfId="1" applyNumberFormat="1" applyFont="1"/>
    <xf numFmtId="41" fontId="1" fillId="0" borderId="3" xfId="1" applyNumberFormat="1" applyFont="1" applyBorder="1"/>
    <xf numFmtId="0" fontId="24" fillId="0" borderId="3" xfId="0" applyFont="1" applyBorder="1"/>
    <xf numFmtId="0" fontId="0" fillId="0" borderId="0" xfId="0" applyFill="1"/>
    <xf numFmtId="0" fontId="1" fillId="0" borderId="0" xfId="0" applyFont="1" applyFill="1" applyBorder="1"/>
    <xf numFmtId="44" fontId="0" fillId="0" borderId="0" xfId="3" applyFont="1"/>
    <xf numFmtId="0" fontId="25" fillId="0" borderId="0" xfId="0" applyFont="1" applyFill="1" applyBorder="1"/>
    <xf numFmtId="164" fontId="2" fillId="0" borderId="3" xfId="3" applyNumberFormat="1" applyFont="1" applyBorder="1" applyAlignment="1">
      <alignment horizontal="center" wrapText="1"/>
    </xf>
    <xf numFmtId="0" fontId="2" fillId="0" borderId="0" xfId="0" applyFont="1" applyFill="1"/>
    <xf numFmtId="164" fontId="2" fillId="0" borderId="0" xfId="3" applyNumberFormat="1" applyFont="1" applyFill="1"/>
    <xf numFmtId="164" fontId="1" fillId="0" borderId="0" xfId="3" applyNumberFormat="1" applyBorder="1"/>
    <xf numFmtId="164" fontId="0" fillId="0" borderId="0" xfId="0" applyNumberFormat="1"/>
    <xf numFmtId="4" fontId="2" fillId="0" borderId="3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1" xfId="0" applyFill="1" applyBorder="1" applyAlignment="1"/>
    <xf numFmtId="165" fontId="0" fillId="0" borderId="3" xfId="1" applyNumberFormat="1" applyFont="1" applyBorder="1"/>
    <xf numFmtId="165" fontId="0" fillId="0" borderId="3" xfId="0" applyNumberFormat="1" applyBorder="1"/>
    <xf numFmtId="9" fontId="3" fillId="0" borderId="3" xfId="9" applyFont="1" applyBorder="1" applyAlignment="1">
      <alignment horizontal="center"/>
    </xf>
    <xf numFmtId="9" fontId="2" fillId="0" borderId="3" xfId="9" applyFont="1" applyBorder="1"/>
    <xf numFmtId="0" fontId="3" fillId="0" borderId="0" xfId="0" applyFont="1" applyAlignment="1">
      <alignment wrapText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165" fontId="25" fillId="0" borderId="0" xfId="0" applyNumberFormat="1" applyFont="1" applyFill="1" applyBorder="1"/>
    <xf numFmtId="164" fontId="25" fillId="0" borderId="0" xfId="0" applyNumberFormat="1" applyFont="1" applyFill="1" applyBorder="1"/>
    <xf numFmtId="9" fontId="25" fillId="0" borderId="0" xfId="9" applyFont="1" applyFill="1" applyBorder="1"/>
    <xf numFmtId="0" fontId="30" fillId="0" borderId="0" xfId="0" applyFont="1" applyFill="1" applyBorder="1"/>
    <xf numFmtId="167" fontId="25" fillId="0" borderId="0" xfId="0" applyNumberFormat="1" applyFont="1" applyFill="1" applyBorder="1" applyAlignment="1"/>
    <xf numFmtId="167" fontId="25" fillId="0" borderId="0" xfId="0" applyNumberFormat="1" applyFont="1" applyFill="1" applyBorder="1"/>
    <xf numFmtId="9" fontId="25" fillId="0" borderId="0" xfId="0" applyNumberFormat="1" applyFont="1" applyFill="1" applyBorder="1"/>
    <xf numFmtId="9" fontId="0" fillId="0" borderId="0" xfId="9" applyFont="1"/>
    <xf numFmtId="164" fontId="25" fillId="0" borderId="0" xfId="4" applyNumberFormat="1" applyFont="1" applyFill="1" applyBorder="1"/>
    <xf numFmtId="164" fontId="25" fillId="0" borderId="0" xfId="4" applyNumberFormat="1" applyFont="1" applyFill="1" applyBorder="1" applyAlignment="1"/>
    <xf numFmtId="167" fontId="25" fillId="0" borderId="0" xfId="9" applyNumberFormat="1" applyFont="1" applyFill="1" applyBorder="1"/>
    <xf numFmtId="0" fontId="16" fillId="0" borderId="13" xfId="0" applyFont="1" applyFill="1" applyBorder="1" applyAlignment="1">
      <alignment horizontal="center"/>
    </xf>
    <xf numFmtId="9" fontId="31" fillId="0" borderId="13" xfId="0" applyNumberFormat="1" applyFont="1" applyFill="1" applyBorder="1" applyAlignment="1">
      <alignment horizontal="center"/>
    </xf>
    <xf numFmtId="9" fontId="30" fillId="0" borderId="0" xfId="0" applyNumberFormat="1" applyFont="1" applyFill="1" applyBorder="1"/>
    <xf numFmtId="0" fontId="25" fillId="0" borderId="0" xfId="9" applyNumberFormat="1" applyFont="1" applyFill="1" applyBorder="1"/>
    <xf numFmtId="165" fontId="25" fillId="0" borderId="0" xfId="0" applyNumberFormat="1" applyFont="1" applyFill="1" applyBorder="1" applyAlignment="1"/>
    <xf numFmtId="0" fontId="32" fillId="0" borderId="0" xfId="0" applyFont="1" applyFill="1" applyBorder="1"/>
    <xf numFmtId="164" fontId="32" fillId="0" borderId="0" xfId="4" applyNumberFormat="1" applyFont="1" applyFill="1" applyBorder="1" applyAlignment="1"/>
    <xf numFmtId="0" fontId="25" fillId="0" borderId="12" xfId="0" applyFont="1" applyFill="1" applyBorder="1"/>
    <xf numFmtId="164" fontId="25" fillId="5" borderId="0" xfId="4" applyNumberFormat="1" applyFont="1" applyFill="1" applyBorder="1"/>
    <xf numFmtId="164" fontId="25" fillId="5" borderId="12" xfId="4" applyNumberFormat="1" applyFont="1" applyFill="1" applyBorder="1"/>
    <xf numFmtId="164" fontId="32" fillId="5" borderId="0" xfId="4" applyNumberFormat="1" applyFont="1" applyFill="1" applyBorder="1" applyAlignment="1"/>
    <xf numFmtId="0" fontId="25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164" fontId="33" fillId="0" borderId="0" xfId="4" applyNumberFormat="1" applyFont="1" applyFill="1" applyBorder="1"/>
    <xf numFmtId="165" fontId="33" fillId="0" borderId="0" xfId="0" applyNumberFormat="1" applyFont="1" applyFill="1" applyBorder="1"/>
    <xf numFmtId="167" fontId="33" fillId="0" borderId="0" xfId="9" applyNumberFormat="1" applyFont="1" applyFill="1" applyBorder="1"/>
    <xf numFmtId="9" fontId="33" fillId="0" borderId="0" xfId="9" applyFont="1" applyFill="1" applyBorder="1"/>
    <xf numFmtId="0" fontId="33" fillId="0" borderId="0" xfId="0" applyFont="1" applyFill="1" applyBorder="1" applyAlignment="1"/>
    <xf numFmtId="0" fontId="34" fillId="0" borderId="13" xfId="0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0" xfId="0" applyNumberFormat="1" applyFont="1" applyFill="1" applyBorder="1" applyAlignment="1"/>
    <xf numFmtId="0" fontId="33" fillId="0" borderId="11" xfId="0" applyFont="1" applyFill="1" applyBorder="1" applyAlignment="1"/>
    <xf numFmtId="167" fontId="33" fillId="0" borderId="0" xfId="0" applyNumberFormat="1" applyFont="1" applyFill="1" applyBorder="1" applyAlignment="1"/>
    <xf numFmtId="167" fontId="33" fillId="0" borderId="0" xfId="0" applyNumberFormat="1" applyFont="1" applyFill="1" applyBorder="1"/>
    <xf numFmtId="9" fontId="33" fillId="0" borderId="0" xfId="0" applyNumberFormat="1" applyFont="1" applyFill="1" applyBorder="1"/>
    <xf numFmtId="164" fontId="33" fillId="4" borderId="0" xfId="4" applyNumberFormat="1" applyFont="1" applyFill="1" applyBorder="1"/>
    <xf numFmtId="0" fontId="33" fillId="0" borderId="12" xfId="0" applyFont="1" applyFill="1" applyBorder="1"/>
    <xf numFmtId="164" fontId="33" fillId="0" borderId="12" xfId="4" applyNumberFormat="1" applyFont="1" applyFill="1" applyBorder="1"/>
    <xf numFmtId="164" fontId="32" fillId="0" borderId="0" xfId="0" applyNumberFormat="1" applyFont="1" applyFill="1" applyBorder="1"/>
    <xf numFmtId="164" fontId="32" fillId="4" borderId="0" xfId="0" applyNumberFormat="1" applyFont="1" applyFill="1" applyBorder="1"/>
    <xf numFmtId="9" fontId="33" fillId="0" borderId="0" xfId="17" applyFont="1" applyFill="1" applyBorder="1"/>
    <xf numFmtId="0" fontId="33" fillId="0" borderId="0" xfId="0" applyFont="1" applyFill="1" applyAlignment="1">
      <alignment horizontal="center"/>
    </xf>
    <xf numFmtId="0" fontId="25" fillId="0" borderId="0" xfId="0" applyFont="1" applyFill="1" applyBorder="1"/>
    <xf numFmtId="0" fontId="0" fillId="0" borderId="0" xfId="0"/>
    <xf numFmtId="165" fontId="25" fillId="6" borderId="0" xfId="0" applyNumberFormat="1" applyFont="1" applyFill="1" applyBorder="1" applyAlignment="1"/>
    <xf numFmtId="165" fontId="25" fillId="6" borderId="0" xfId="0" applyNumberFormat="1" applyFont="1" applyFill="1" applyBorder="1"/>
    <xf numFmtId="164" fontId="25" fillId="6" borderId="0" xfId="19" applyNumberFormat="1" applyFont="1" applyFill="1" applyBorder="1" applyAlignment="1"/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164" fontId="25" fillId="6" borderId="0" xfId="4" applyNumberFormat="1" applyFont="1" applyFill="1" applyBorder="1"/>
    <xf numFmtId="164" fontId="32" fillId="6" borderId="0" xfId="4" applyNumberFormat="1" applyFont="1" applyFill="1" applyBorder="1"/>
    <xf numFmtId="164" fontId="33" fillId="6" borderId="0" xfId="3" applyNumberFormat="1" applyFont="1" applyFill="1" applyBorder="1"/>
    <xf numFmtId="164" fontId="33" fillId="6" borderId="12" xfId="3" applyNumberFormat="1" applyFont="1" applyFill="1" applyBorder="1"/>
    <xf numFmtId="164" fontId="33" fillId="5" borderId="0" xfId="4" applyNumberFormat="1" applyFont="1" applyFill="1" applyBorder="1"/>
    <xf numFmtId="164" fontId="33" fillId="5" borderId="12" xfId="4" applyNumberFormat="1" applyFont="1" applyFill="1" applyBorder="1"/>
    <xf numFmtId="164" fontId="33" fillId="7" borderId="0" xfId="4" applyNumberFormat="1" applyFont="1" applyFill="1" applyBorder="1"/>
    <xf numFmtId="164" fontId="33" fillId="7" borderId="12" xfId="4" applyNumberFormat="1" applyFont="1" applyFill="1" applyBorder="1"/>
    <xf numFmtId="164" fontId="32" fillId="7" borderId="0" xfId="4" applyNumberFormat="1" applyFont="1" applyFill="1" applyBorder="1" applyAlignment="1"/>
    <xf numFmtId="0" fontId="33" fillId="7" borderId="0" xfId="0" applyFont="1" applyFill="1" applyBorder="1"/>
    <xf numFmtId="0" fontId="33" fillId="7" borderId="0" xfId="21" applyFont="1" applyFill="1" applyBorder="1"/>
    <xf numFmtId="0" fontId="32" fillId="7" borderId="0" xfId="0" applyFont="1" applyFill="1" applyBorder="1"/>
    <xf numFmtId="164" fontId="25" fillId="7" borderId="0" xfId="4" applyNumberFormat="1" applyFont="1" applyFill="1" applyBorder="1"/>
    <xf numFmtId="165" fontId="25" fillId="7" borderId="0" xfId="2" applyNumberFormat="1" applyFont="1" applyFill="1" applyBorder="1" applyAlignment="1"/>
    <xf numFmtId="165" fontId="32" fillId="7" borderId="0" xfId="0" applyNumberFormat="1" applyFont="1" applyFill="1" applyBorder="1" applyAlignment="1"/>
    <xf numFmtId="165" fontId="25" fillId="7" borderId="0" xfId="18" applyNumberFormat="1" applyFont="1" applyFill="1" applyBorder="1" applyAlignment="1"/>
    <xf numFmtId="165" fontId="25" fillId="7" borderId="12" xfId="18" applyNumberFormat="1" applyFont="1" applyFill="1" applyBorder="1" applyAlignment="1"/>
    <xf numFmtId="165" fontId="25" fillId="7" borderId="0" xfId="0" applyNumberFormat="1" applyFont="1" applyFill="1" applyBorder="1" applyAlignment="1"/>
    <xf numFmtId="0" fontId="33" fillId="5" borderId="0" xfId="0" applyFont="1" applyFill="1" applyBorder="1" applyAlignment="1">
      <alignment horizontal="left" vertical="center" wrapText="1"/>
    </xf>
    <xf numFmtId="0" fontId="33" fillId="5" borderId="0" xfId="0" applyFont="1" applyFill="1" applyBorder="1"/>
    <xf numFmtId="164" fontId="33" fillId="5" borderId="0" xfId="3" applyNumberFormat="1" applyFont="1" applyFill="1" applyBorder="1"/>
    <xf numFmtId="0" fontId="33" fillId="5" borderId="0" xfId="21" applyFont="1" applyFill="1" applyBorder="1"/>
    <xf numFmtId="0" fontId="33" fillId="5" borderId="12" xfId="0" applyFont="1" applyFill="1" applyBorder="1"/>
    <xf numFmtId="164" fontId="33" fillId="5" borderId="12" xfId="3" applyNumberFormat="1" applyFont="1" applyFill="1" applyBorder="1"/>
    <xf numFmtId="0" fontId="25" fillId="5" borderId="0" xfId="0" applyFont="1" applyFill="1" applyBorder="1"/>
    <xf numFmtId="165" fontId="25" fillId="5" borderId="0" xfId="2" applyNumberFormat="1" applyFont="1" applyFill="1" applyBorder="1" applyAlignment="1"/>
    <xf numFmtId="0" fontId="25" fillId="5" borderId="12" xfId="0" applyFont="1" applyFill="1" applyBorder="1"/>
    <xf numFmtId="165" fontId="25" fillId="5" borderId="12" xfId="2" applyNumberFormat="1" applyFont="1" applyFill="1" applyBorder="1" applyAlignment="1"/>
    <xf numFmtId="165" fontId="25" fillId="5" borderId="0" xfId="18" applyNumberFormat="1" applyFont="1" applyFill="1" applyBorder="1" applyAlignment="1"/>
    <xf numFmtId="0" fontId="33" fillId="8" borderId="0" xfId="0" applyFont="1" applyFill="1" applyBorder="1"/>
    <xf numFmtId="0" fontId="25" fillId="8" borderId="0" xfId="0" applyFont="1" applyFill="1" applyBorder="1"/>
    <xf numFmtId="44" fontId="33" fillId="6" borderId="0" xfId="3" applyNumberFormat="1" applyFont="1" applyFill="1" applyBorder="1"/>
    <xf numFmtId="164" fontId="33" fillId="0" borderId="0" xfId="0" applyNumberFormat="1" applyFont="1" applyFill="1" applyBorder="1"/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37" fillId="0" borderId="3" xfId="22" applyFont="1" applyBorder="1" applyAlignment="1"/>
    <xf numFmtId="0" fontId="37" fillId="0" borderId="3" xfId="22" applyFont="1" applyFill="1" applyBorder="1" applyAlignment="1">
      <alignment wrapText="1"/>
    </xf>
    <xf numFmtId="0" fontId="38" fillId="0" borderId="3" xfId="22" applyFont="1" applyFill="1" applyBorder="1" applyAlignment="1">
      <alignment horizontal="left" wrapText="1"/>
    </xf>
    <xf numFmtId="0" fontId="37" fillId="0" borderId="3" xfId="22" applyFont="1" applyFill="1" applyBorder="1" applyAlignment="1"/>
    <xf numFmtId="0" fontId="37" fillId="0" borderId="3" xfId="22" applyFont="1" applyBorder="1" applyAlignment="1">
      <alignment wrapText="1"/>
    </xf>
    <xf numFmtId="0" fontId="38" fillId="0" borderId="3" xfId="22" applyFont="1" applyBorder="1" applyAlignment="1">
      <alignment horizontal="left" wrapText="1"/>
    </xf>
    <xf numFmtId="0" fontId="39" fillId="10" borderId="3" xfId="22" applyFont="1" applyFill="1" applyBorder="1"/>
    <xf numFmtId="0" fontId="37" fillId="10" borderId="3" xfId="22" applyFont="1" applyFill="1" applyBorder="1" applyAlignment="1"/>
    <xf numFmtId="0" fontId="39" fillId="0" borderId="3" xfId="22" applyFont="1" applyFill="1" applyBorder="1"/>
    <xf numFmtId="0" fontId="37" fillId="10" borderId="3" xfId="22" applyFont="1" applyFill="1" applyBorder="1" applyAlignment="1">
      <alignment wrapText="1"/>
    </xf>
    <xf numFmtId="0" fontId="37" fillId="0" borderId="3" xfId="22" applyFont="1" applyBorder="1"/>
    <xf numFmtId="0" fontId="37" fillId="11" borderId="3" xfId="22" applyFont="1" applyFill="1" applyBorder="1" applyAlignment="1"/>
    <xf numFmtId="0" fontId="37" fillId="11" borderId="3" xfId="22" applyFont="1" applyFill="1" applyBorder="1" applyAlignment="1">
      <alignment wrapText="1"/>
    </xf>
    <xf numFmtId="0" fontId="39" fillId="0" borderId="3" xfId="22" applyFont="1" applyBorder="1"/>
    <xf numFmtId="0" fontId="37" fillId="0" borderId="3" xfId="22" applyFont="1" applyFill="1" applyBorder="1"/>
    <xf numFmtId="0" fontId="37" fillId="10" borderId="3" xfId="22" applyFont="1" applyFill="1" applyBorder="1"/>
    <xf numFmtId="0" fontId="38" fillId="11" borderId="3" xfId="22" applyFont="1" applyFill="1" applyBorder="1" applyAlignment="1">
      <alignment horizontal="left" wrapText="1"/>
    </xf>
    <xf numFmtId="0" fontId="38" fillId="10" borderId="3" xfId="22" applyFont="1" applyFill="1" applyBorder="1" applyAlignment="1">
      <alignment horizontal="left" wrapText="1"/>
    </xf>
    <xf numFmtId="0" fontId="37" fillId="4" borderId="3" xfId="22" applyFont="1" applyFill="1" applyBorder="1" applyAlignment="1">
      <alignment horizontal="center" wrapText="1"/>
    </xf>
    <xf numFmtId="0" fontId="37" fillId="4" borderId="3" xfId="22" applyFont="1" applyFill="1" applyBorder="1" applyAlignment="1">
      <alignment horizontal="center"/>
    </xf>
    <xf numFmtId="0" fontId="39" fillId="11" borderId="3" xfId="22" applyFont="1" applyFill="1" applyBorder="1"/>
    <xf numFmtId="0" fontId="42" fillId="0" borderId="0" xfId="25"/>
    <xf numFmtId="0" fontId="42" fillId="4" borderId="0" xfId="25" applyFill="1"/>
    <xf numFmtId="0" fontId="42" fillId="0" borderId="0" xfId="25" applyAlignment="1">
      <alignment wrapText="1"/>
    </xf>
    <xf numFmtId="0" fontId="42" fillId="0" borderId="0" xfId="25" applyFill="1"/>
    <xf numFmtId="0" fontId="42" fillId="8" borderId="0" xfId="25" applyFill="1"/>
    <xf numFmtId="0" fontId="42" fillId="12" borderId="0" xfId="25" applyFill="1"/>
    <xf numFmtId="0" fontId="42" fillId="11" borderId="0" xfId="25" applyFill="1"/>
    <xf numFmtId="44" fontId="25" fillId="0" borderId="0" xfId="0" applyNumberFormat="1" applyFont="1" applyFill="1" applyBorder="1"/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9" fontId="0" fillId="0" borderId="0" xfId="9" applyFont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7" fillId="0" borderId="0" xfId="0" applyFont="1" applyAlignment="1">
      <alignment wrapText="1"/>
    </xf>
    <xf numFmtId="164" fontId="33" fillId="5" borderId="15" xfId="4" applyNumberFormat="1" applyFont="1" applyFill="1" applyBorder="1"/>
    <xf numFmtId="164" fontId="25" fillId="6" borderId="0" xfId="3" applyNumberFormat="1" applyFont="1" applyFill="1" applyBorder="1"/>
    <xf numFmtId="164" fontId="25" fillId="5" borderId="0" xfId="3" applyNumberFormat="1" applyFont="1" applyFill="1" applyBorder="1"/>
    <xf numFmtId="164" fontId="25" fillId="6" borderId="12" xfId="3" applyNumberFormat="1" applyFont="1" applyFill="1" applyBorder="1"/>
    <xf numFmtId="0" fontId="26" fillId="0" borderId="0" xfId="0" applyFont="1" applyFill="1" applyBorder="1"/>
    <xf numFmtId="0" fontId="33" fillId="5" borderId="0" xfId="0" applyFont="1" applyFill="1" applyBorder="1" applyAlignment="1">
      <alignment wrapText="1"/>
    </xf>
    <xf numFmtId="0" fontId="25" fillId="5" borderId="0" xfId="0" applyFont="1" applyFill="1" applyBorder="1" applyAlignment="1">
      <alignment wrapText="1"/>
    </xf>
    <xf numFmtId="0" fontId="25" fillId="5" borderId="12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3" fillId="8" borderId="0" xfId="0" applyFont="1" applyFill="1" applyBorder="1" applyAlignment="1"/>
    <xf numFmtId="0" fontId="33" fillId="0" borderId="12" xfId="0" applyFont="1" applyFill="1" applyBorder="1" applyAlignment="1">
      <alignment wrapText="1"/>
    </xf>
    <xf numFmtId="0" fontId="25" fillId="8" borderId="0" xfId="0" applyFont="1" applyFill="1" applyBorder="1" applyAlignment="1"/>
    <xf numFmtId="164" fontId="25" fillId="8" borderId="0" xfId="0" applyNumberFormat="1" applyFont="1" applyFill="1" applyBorder="1"/>
    <xf numFmtId="4" fontId="0" fillId="0" borderId="0" xfId="0" applyNumberFormat="1" applyBorder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2" fillId="5" borderId="0" xfId="0" applyFont="1" applyFill="1" applyBorder="1" applyAlignment="1">
      <alignment horizontal="center" wrapText="1"/>
    </xf>
    <xf numFmtId="0" fontId="32" fillId="5" borderId="0" xfId="0" applyFont="1" applyFill="1" applyAlignment="1">
      <alignment horizontal="center" wrapText="1"/>
    </xf>
    <xf numFmtId="0" fontId="32" fillId="7" borderId="0" xfId="0" applyFont="1" applyFill="1" applyBorder="1" applyAlignment="1">
      <alignment horizontal="center" wrapText="1"/>
    </xf>
    <xf numFmtId="0" fontId="32" fillId="7" borderId="0" xfId="0" applyFont="1" applyFill="1" applyAlignment="1">
      <alignment horizontal="center" wrapText="1"/>
    </xf>
    <xf numFmtId="0" fontId="32" fillId="6" borderId="0" xfId="0" applyFont="1" applyFill="1" applyBorder="1" applyAlignment="1">
      <alignment wrapText="1"/>
    </xf>
    <xf numFmtId="0" fontId="35" fillId="6" borderId="0" xfId="0" applyFont="1" applyFill="1" applyAlignment="1">
      <alignment wrapText="1"/>
    </xf>
    <xf numFmtId="0" fontId="25" fillId="6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7" fillId="5" borderId="0" xfId="0" applyFont="1" applyFill="1" applyBorder="1" applyAlignment="1">
      <alignment horizontal="center" wrapText="1"/>
    </xf>
    <xf numFmtId="0" fontId="24" fillId="5" borderId="12" xfId="0" applyFont="1" applyFill="1" applyBorder="1" applyAlignment="1">
      <alignment horizontal="center" wrapText="1"/>
    </xf>
    <xf numFmtId="0" fontId="26" fillId="7" borderId="0" xfId="0" applyFont="1" applyFill="1" applyBorder="1" applyAlignment="1">
      <alignment wrapText="1"/>
    </xf>
    <xf numFmtId="0" fontId="35" fillId="7" borderId="0" xfId="0" applyFont="1" applyFill="1" applyAlignment="1">
      <alignment wrapText="1"/>
    </xf>
    <xf numFmtId="0" fontId="27" fillId="7" borderId="0" xfId="0" applyFont="1" applyFill="1" applyBorder="1" applyAlignment="1">
      <alignment horizontal="center" wrapText="1"/>
    </xf>
    <xf numFmtId="0" fontId="24" fillId="7" borderId="12" xfId="0" applyFont="1" applyFill="1" applyBorder="1" applyAlignment="1">
      <alignment horizontal="center" wrapText="1"/>
    </xf>
    <xf numFmtId="0" fontId="32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32" fillId="6" borderId="0" xfId="0" applyFont="1" applyFill="1" applyBorder="1" applyAlignment="1">
      <alignment horizontal="left" wrapText="1"/>
    </xf>
  </cellXfs>
  <cellStyles count="75">
    <cellStyle name="Comma" xfId="1" builtinId="3"/>
    <cellStyle name="Comma 2" xfId="2"/>
    <cellStyle name="Comma 2 2" xfId="18"/>
    <cellStyle name="Comma 2 2 2" xfId="26"/>
    <cellStyle name="Comma 3" xfId="27"/>
    <cellStyle name="Comma 4" xfId="28"/>
    <cellStyle name="Currency" xfId="3" builtinId="4"/>
    <cellStyle name="Currency 2" xfId="4"/>
    <cellStyle name="Currency 2 2" xfId="19"/>
    <cellStyle name="Currency 2 2 2" xfId="29"/>
    <cellStyle name="Currency 3" xfId="30"/>
    <cellStyle name="Followed Hyperlink" xfId="24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RxAmtStyle" xfId="5"/>
    <cellStyle name="HMRCalculated" xfId="6"/>
    <cellStyle name="Hyperlink" xfId="23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  <cellStyle name="Normal 2" xfId="7"/>
    <cellStyle name="Normal 2 2" xfId="20"/>
    <cellStyle name="Normal 2 2 2" xfId="31"/>
    <cellStyle name="Normal 3" xfId="22"/>
    <cellStyle name="Normal 3 2" xfId="32"/>
    <cellStyle name="Normal 3 2 2" xfId="33"/>
    <cellStyle name="Normal 4" xfId="25"/>
    <cellStyle name="Normal 4 2" xfId="34"/>
    <cellStyle name="Normal 5" xfId="35"/>
    <cellStyle name="Normal 6" xfId="36"/>
    <cellStyle name="Normal 7" xfId="37"/>
    <cellStyle name="Normal 8" xfId="38"/>
    <cellStyle name="Normal 8 2" xfId="39"/>
    <cellStyle name="Normal_2005 Enrollment Count.revised2" xfId="21"/>
    <cellStyle name="Note 2" xfId="40"/>
    <cellStyle name="Package_numbers" xfId="8"/>
    <cellStyle name="Percent" xfId="9" builtinId="5"/>
    <cellStyle name="Percent 2" xfId="17"/>
    <cellStyle name="Print_header" xfId="10"/>
    <cellStyle name="STYLE1" xfId="11"/>
    <cellStyle name="STYLE5" xfId="12"/>
    <cellStyle name="STYLE6" xfId="13"/>
    <cellStyle name="STYLE7" xfId="14"/>
    <cellStyle name="STYLE8" xfId="15"/>
    <cellStyle name="Text" xfId="16"/>
  </cellStyles>
  <dxfs count="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3" Type="http://schemas.openxmlformats.org/officeDocument/2006/relationships/externalLink" Target="externalLinks/externalLink7.xml"/><Relationship Id="rId64" Type="http://schemas.openxmlformats.org/officeDocument/2006/relationships/externalLink" Target="externalLinks/externalLink8.xml"/><Relationship Id="rId65" Type="http://schemas.openxmlformats.org/officeDocument/2006/relationships/theme" Target="theme/theme1.xml"/><Relationship Id="rId66" Type="http://schemas.openxmlformats.org/officeDocument/2006/relationships/styles" Target="styles.xml"/><Relationship Id="rId67" Type="http://schemas.openxmlformats.org/officeDocument/2006/relationships/sharedStrings" Target="sharedStrings.xml"/><Relationship Id="rId68" Type="http://schemas.openxmlformats.org/officeDocument/2006/relationships/calcChain" Target="calcChain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externalLink" Target="externalLinks/externalLink1.xml"/><Relationship Id="rId58" Type="http://schemas.openxmlformats.org/officeDocument/2006/relationships/externalLink" Target="externalLinks/externalLink2.xml"/><Relationship Id="rId59" Type="http://schemas.openxmlformats.org/officeDocument/2006/relationships/externalLink" Target="externalLinks/externalLink3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60" Type="http://schemas.openxmlformats.org/officeDocument/2006/relationships/externalLink" Target="externalLinks/externalLink4.xml"/><Relationship Id="rId61" Type="http://schemas.openxmlformats.org/officeDocument/2006/relationships/externalLink" Target="externalLinks/externalLink5.xml"/><Relationship Id="rId62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Histogram-FY2010 per student fac expenditures (# of PCS)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6921529175"/>
          <c:y val="0.235925241817351"/>
          <c:w val="0.597585513078471"/>
          <c:h val="0.428954985122457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dLbls>
            <c:dLbl>
              <c:idx val="11"/>
              <c:layout>
                <c:manualLayout>
                  <c:x val="0.0485178606874039"/>
                  <c:y val="0.07454523260020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'Budgeted 2011'!$S$59:$S$70</c:f>
            </c:multiLvlStrRef>
          </c:cat>
          <c:val>
            <c:numRef>
              <c:f>'Budgeted 2011'!$T$59:$T$70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104040"/>
        <c:axId val="2068941480"/>
      </c:barChart>
      <c:catAx>
        <c:axId val="2143104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Bin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68941480"/>
        <c:crosses val="autoZero"/>
        <c:auto val="1"/>
        <c:lblAlgn val="ctr"/>
        <c:lblOffset val="100"/>
        <c:noMultiLvlLbl val="0"/>
      </c:catAx>
      <c:valAx>
        <c:axId val="2068941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3104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563326464608"/>
          <c:y val="0.640751514639759"/>
          <c:w val="0.158953770293445"/>
          <c:h val="0.064343163538874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419100</xdr:colOff>
      <xdr:row>57</xdr:row>
      <xdr:rowOff>9525</xdr:rowOff>
    </xdr:from>
    <xdr:to>
      <xdr:col>30</xdr:col>
      <xdr:colOff>0</xdr:colOff>
      <xdr:row>78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10/FY09%20Audits/Updated%20FS/FY%2009%20Functional%20Expens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/Charter%20Financials/FY2010/Facilities/CapCit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/Charter%20Financials/FY2010/Facilities/DC%20Pre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/Charter%20Financials/FY2010/Facilities/Eag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/Charter%20Financials/FY2010/Facilities/May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12-2013_Facilities_Expenditure_Data_Inputs_(XIS)(DCPrep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fowler/AppData/Local/Temp/2012-2013_Facilities_Expenditure_Data_Inputs_(R0S)(WashinLati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illiams/AppData/Local/Microsoft/Windows/Temporary%20Internet%20Files/Content.Outlook/SQ01E9GY/PCSB%20FY14%20PCS%20projections%20vs%20FY13%20PCS%20audited%20enrollment%20analysis(3.08)j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1.TB Expenses"/>
      <sheetName val="2.Classified-Revised"/>
      <sheetName val="Summary"/>
      <sheetName val="4.Functional Expenses Schedule"/>
      <sheetName val="Category"/>
      <sheetName val="2.Classified-Or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Account</v>
          </cell>
          <cell r="C5" t="str">
            <v>Function</v>
          </cell>
        </row>
        <row r="6">
          <cell r="B6">
            <v>5100</v>
          </cell>
          <cell r="C6" t="str">
            <v>Salaries, Fringe Benefits And Related Taxes</v>
          </cell>
        </row>
        <row r="7">
          <cell r="B7">
            <v>5101</v>
          </cell>
          <cell r="C7" t="str">
            <v>Salaries, Fringe Benefits And Related Taxes</v>
          </cell>
        </row>
        <row r="8">
          <cell r="B8">
            <v>5101</v>
          </cell>
          <cell r="C8" t="str">
            <v>Salaries, Fringe Benefits And Related Taxes</v>
          </cell>
        </row>
        <row r="9">
          <cell r="B9">
            <v>5101</v>
          </cell>
          <cell r="C9" t="str">
            <v>Salaries, Fringe Benefits And Related Taxes</v>
          </cell>
        </row>
        <row r="10">
          <cell r="B10">
            <v>5101</v>
          </cell>
          <cell r="C10" t="str">
            <v>Salaries, Fringe Benefits And Related Taxes</v>
          </cell>
        </row>
        <row r="11">
          <cell r="B11">
            <v>5101</v>
          </cell>
          <cell r="C11" t="str">
            <v>Salaries, Fringe Benefits And Related Taxes</v>
          </cell>
        </row>
        <row r="12">
          <cell r="B12">
            <v>5103</v>
          </cell>
          <cell r="C12" t="str">
            <v>Salaries, Fringe Benefits And Related Taxes</v>
          </cell>
        </row>
        <row r="13">
          <cell r="B13">
            <v>5103</v>
          </cell>
          <cell r="C13" t="str">
            <v>Salaries, Fringe Benefits And Related Taxes</v>
          </cell>
        </row>
        <row r="14">
          <cell r="B14">
            <v>5103</v>
          </cell>
          <cell r="C14" t="str">
            <v>Salaries, Fringe Benefits And Related Taxes</v>
          </cell>
        </row>
        <row r="15">
          <cell r="B15">
            <v>5103</v>
          </cell>
          <cell r="C15" t="str">
            <v>Salaries, Fringe Benefits And Related Taxes</v>
          </cell>
        </row>
        <row r="16">
          <cell r="B16">
            <v>5103</v>
          </cell>
          <cell r="C16" t="str">
            <v>Salaries, Fringe Benefits And Related Taxes</v>
          </cell>
        </row>
        <row r="17">
          <cell r="B17">
            <v>5103</v>
          </cell>
          <cell r="C17" t="str">
            <v>Salaries, Fringe Benefits And Related Taxes</v>
          </cell>
        </row>
        <row r="18">
          <cell r="B18">
            <v>5103</v>
          </cell>
          <cell r="C18" t="str">
            <v>Salaries, Fringe Benefits And Related Taxes</v>
          </cell>
        </row>
        <row r="19">
          <cell r="B19">
            <v>5105</v>
          </cell>
          <cell r="C19" t="str">
            <v>Salaries, Fringe Benefits And Related Taxes</v>
          </cell>
        </row>
        <row r="20">
          <cell r="B20">
            <v>5105</v>
          </cell>
          <cell r="C20" t="str">
            <v>Salaries, Fringe Benefits And Related Taxes</v>
          </cell>
        </row>
        <row r="21">
          <cell r="B21">
            <v>5105</v>
          </cell>
          <cell r="C21" t="str">
            <v>Salaries, Fringe Benefits And Related Taxes</v>
          </cell>
        </row>
        <row r="22">
          <cell r="B22">
            <v>5105</v>
          </cell>
          <cell r="C22" t="str">
            <v>Salaries, Fringe Benefits And Related Taxes</v>
          </cell>
        </row>
        <row r="23">
          <cell r="B23">
            <v>5110</v>
          </cell>
          <cell r="C23" t="str">
            <v>Salaries, Fringe Benefits And Related Taxes</v>
          </cell>
        </row>
        <row r="24">
          <cell r="B24">
            <v>5110</v>
          </cell>
          <cell r="C24" t="str">
            <v>Salaries, Fringe Benefits And Related Taxes</v>
          </cell>
        </row>
        <row r="25">
          <cell r="B25">
            <v>5130</v>
          </cell>
          <cell r="C25" t="str">
            <v>Salaries, Fringe Benefits And Related Taxes</v>
          </cell>
        </row>
        <row r="26">
          <cell r="B26">
            <v>5141</v>
          </cell>
          <cell r="C26" t="str">
            <v>Salaries, Fringe Benefits And Related Taxes</v>
          </cell>
        </row>
        <row r="27">
          <cell r="B27">
            <v>5141</v>
          </cell>
          <cell r="C27" t="str">
            <v>Salaries, Fringe Benefits And Related Taxes</v>
          </cell>
        </row>
        <row r="28">
          <cell r="B28">
            <v>5141</v>
          </cell>
          <cell r="C28" t="str">
            <v>Salaries, Fringe Benefits And Related Taxes</v>
          </cell>
        </row>
        <row r="29">
          <cell r="B29">
            <v>5141</v>
          </cell>
          <cell r="C29" t="str">
            <v>Salaries, Fringe Benefits And Related Taxes</v>
          </cell>
        </row>
        <row r="30">
          <cell r="B30">
            <v>5141</v>
          </cell>
          <cell r="C30" t="str">
            <v>Salaries, Fringe Benefits And Related Taxes</v>
          </cell>
        </row>
        <row r="31">
          <cell r="B31">
            <v>5141</v>
          </cell>
          <cell r="C31" t="str">
            <v>Salaries, Fringe Benefits And Related Taxes</v>
          </cell>
        </row>
        <row r="32">
          <cell r="B32">
            <v>5141</v>
          </cell>
          <cell r="C32" t="str">
            <v>Salaries, Fringe Benefits And Related Taxes</v>
          </cell>
        </row>
        <row r="33">
          <cell r="B33">
            <v>5141</v>
          </cell>
          <cell r="C33" t="str">
            <v>Salaries, Fringe Benefits And Related Taxes</v>
          </cell>
        </row>
        <row r="34">
          <cell r="B34">
            <v>5141</v>
          </cell>
          <cell r="C34" t="str">
            <v>Salaries, Fringe Benefits And Related Taxes</v>
          </cell>
        </row>
        <row r="35">
          <cell r="B35">
            <v>5141</v>
          </cell>
          <cell r="C35" t="str">
            <v>Salaries, Fringe Benefits And Related Taxes</v>
          </cell>
        </row>
        <row r="36">
          <cell r="B36">
            <v>5141</v>
          </cell>
          <cell r="C36" t="str">
            <v>Salaries, Fringe Benefits And Related Taxes</v>
          </cell>
        </row>
        <row r="37">
          <cell r="B37">
            <v>5141</v>
          </cell>
          <cell r="C37" t="str">
            <v>Salaries, Fringe Benefits And Related Taxes</v>
          </cell>
        </row>
        <row r="38">
          <cell r="B38">
            <v>5141</v>
          </cell>
          <cell r="C38" t="str">
            <v>Salaries, Fringe Benefits And Related Taxes</v>
          </cell>
        </row>
        <row r="39">
          <cell r="B39">
            <v>5141</v>
          </cell>
          <cell r="C39" t="str">
            <v>Salaries, Fringe Benefits And Related Taxes</v>
          </cell>
        </row>
        <row r="40">
          <cell r="B40">
            <v>5142</v>
          </cell>
          <cell r="C40" t="str">
            <v>Salaries, Fringe Benefits And Related Taxes</v>
          </cell>
        </row>
        <row r="41">
          <cell r="B41">
            <v>5142</v>
          </cell>
          <cell r="C41" t="str">
            <v>Salaries, Fringe Benefits And Related Taxes</v>
          </cell>
        </row>
        <row r="42">
          <cell r="B42">
            <v>5142</v>
          </cell>
          <cell r="C42" t="str">
            <v>Salaries, Fringe Benefits And Related Taxes</v>
          </cell>
        </row>
        <row r="43">
          <cell r="B43">
            <v>5142</v>
          </cell>
          <cell r="C43" t="str">
            <v>Salaries, Fringe Benefits And Related Taxes</v>
          </cell>
        </row>
        <row r="44">
          <cell r="B44">
            <v>5142</v>
          </cell>
          <cell r="C44" t="str">
            <v>Salaries, Fringe Benefits And Related Taxes</v>
          </cell>
        </row>
        <row r="45">
          <cell r="B45">
            <v>5143</v>
          </cell>
          <cell r="C45" t="str">
            <v>Salaries, Fringe Benefits And Related Taxes</v>
          </cell>
        </row>
        <row r="46">
          <cell r="B46">
            <v>5143</v>
          </cell>
          <cell r="C46" t="str">
            <v>Salaries, Fringe Benefits And Related Taxes</v>
          </cell>
        </row>
        <row r="47">
          <cell r="B47">
            <v>5143</v>
          </cell>
          <cell r="C47" t="str">
            <v>Salaries, Fringe Benefits And Related Taxes</v>
          </cell>
        </row>
        <row r="48">
          <cell r="B48">
            <v>5143</v>
          </cell>
          <cell r="C48" t="str">
            <v>Salaries, Fringe Benefits And Related Taxes</v>
          </cell>
        </row>
        <row r="49">
          <cell r="B49">
            <v>5143</v>
          </cell>
          <cell r="C49" t="str">
            <v>Salaries, Fringe Benefits And Related Taxes</v>
          </cell>
        </row>
        <row r="50">
          <cell r="B50">
            <v>5143</v>
          </cell>
          <cell r="C50" t="str">
            <v>Salaries, Fringe Benefits And Related Taxes</v>
          </cell>
        </row>
        <row r="51">
          <cell r="B51">
            <v>5143</v>
          </cell>
          <cell r="C51" t="str">
            <v>Salaries, Fringe Benefits And Related Taxes</v>
          </cell>
        </row>
        <row r="52">
          <cell r="B52">
            <v>5144</v>
          </cell>
          <cell r="C52" t="str">
            <v>Salaries, Fringe Benefits And Related Taxes</v>
          </cell>
        </row>
        <row r="53">
          <cell r="B53">
            <v>5144</v>
          </cell>
          <cell r="C53" t="str">
            <v>Salaries, Fringe Benefits And Related Taxes</v>
          </cell>
        </row>
        <row r="54">
          <cell r="B54">
            <v>5144</v>
          </cell>
          <cell r="C54" t="str">
            <v>Salaries, Fringe Benefits And Related Taxes</v>
          </cell>
        </row>
        <row r="55">
          <cell r="B55">
            <v>5144</v>
          </cell>
          <cell r="C55" t="str">
            <v>Salaries, Fringe Benefits And Related Taxes</v>
          </cell>
        </row>
        <row r="56">
          <cell r="B56">
            <v>5150</v>
          </cell>
          <cell r="C56" t="str">
            <v>Salaries, Fringe Benefits And Related Taxes</v>
          </cell>
        </row>
        <row r="57">
          <cell r="B57">
            <v>5150</v>
          </cell>
          <cell r="C57" t="str">
            <v>Salaries, Fringe Benefits And Related Taxes</v>
          </cell>
        </row>
        <row r="58">
          <cell r="B58">
            <v>5161</v>
          </cell>
          <cell r="C58" t="str">
            <v>Salaries, Fringe Benefits And Related Taxes</v>
          </cell>
        </row>
        <row r="59">
          <cell r="B59">
            <v>5210</v>
          </cell>
          <cell r="C59" t="str">
            <v>Salaries, Fringe Benefits And Related Taxes</v>
          </cell>
        </row>
        <row r="60">
          <cell r="B60">
            <v>5220</v>
          </cell>
          <cell r="C60" t="str">
            <v>Salaries, Fringe Benefits And Related Taxes</v>
          </cell>
        </row>
        <row r="61">
          <cell r="B61">
            <v>5220</v>
          </cell>
          <cell r="C61" t="str">
            <v>Salaries, Fringe Benefits And Related Taxes</v>
          </cell>
        </row>
        <row r="62">
          <cell r="B62">
            <v>5220</v>
          </cell>
          <cell r="C62" t="str">
            <v>Salaries, Fringe Benefits And Related Taxes</v>
          </cell>
        </row>
        <row r="63">
          <cell r="B63">
            <v>5220</v>
          </cell>
          <cell r="C63" t="str">
            <v>Salaries, Fringe Benefits And Related Taxes</v>
          </cell>
        </row>
        <row r="64">
          <cell r="B64">
            <v>5220</v>
          </cell>
          <cell r="C64" t="str">
            <v>Salaries, Fringe Benefits And Related Taxes</v>
          </cell>
        </row>
        <row r="65">
          <cell r="B65">
            <v>5220</v>
          </cell>
          <cell r="C65" t="str">
            <v>Salaries, Fringe Benefits And Related Taxes</v>
          </cell>
        </row>
        <row r="66">
          <cell r="B66">
            <v>5220</v>
          </cell>
          <cell r="C66" t="str">
            <v>Salaries, Fringe Benefits And Related Taxes</v>
          </cell>
        </row>
        <row r="67">
          <cell r="B67">
            <v>5220</v>
          </cell>
          <cell r="C67" t="str">
            <v>Salaries, Fringe Benefits And Related Taxes</v>
          </cell>
        </row>
        <row r="68">
          <cell r="B68">
            <v>5220</v>
          </cell>
          <cell r="C68" t="str">
            <v>Salaries, Fringe Benefits And Related Taxes</v>
          </cell>
        </row>
        <row r="69">
          <cell r="B69">
            <v>5220</v>
          </cell>
          <cell r="C69" t="str">
            <v>Salaries, Fringe Benefits And Related Taxes</v>
          </cell>
        </row>
        <row r="70">
          <cell r="B70">
            <v>5220</v>
          </cell>
          <cell r="C70" t="str">
            <v>Salaries, Fringe Benefits And Related Taxes</v>
          </cell>
        </row>
        <row r="71">
          <cell r="B71">
            <v>5220</v>
          </cell>
          <cell r="C71" t="str">
            <v>Salaries, Fringe Benefits And Related Taxes</v>
          </cell>
        </row>
        <row r="72">
          <cell r="B72">
            <v>5220</v>
          </cell>
          <cell r="C72" t="str">
            <v>Salaries, Fringe Benefits And Related Taxes</v>
          </cell>
        </row>
        <row r="73">
          <cell r="B73">
            <v>5220</v>
          </cell>
          <cell r="C73" t="str">
            <v>Salaries, Fringe Benefits And Related Taxes</v>
          </cell>
        </row>
        <row r="74">
          <cell r="B74">
            <v>5220</v>
          </cell>
          <cell r="C74" t="str">
            <v>Salaries, Fringe Benefits And Related Taxes</v>
          </cell>
        </row>
        <row r="75">
          <cell r="B75">
            <v>5220</v>
          </cell>
          <cell r="C75" t="str">
            <v>Salaries, Fringe Benefits And Related Taxes</v>
          </cell>
        </row>
        <row r="76">
          <cell r="B76">
            <v>5220</v>
          </cell>
          <cell r="C76" t="str">
            <v>Salaries, Fringe Benefits And Related Taxes</v>
          </cell>
        </row>
        <row r="77">
          <cell r="B77">
            <v>5220</v>
          </cell>
          <cell r="C77" t="str">
            <v>Salaries, Fringe Benefits And Related Taxes</v>
          </cell>
        </row>
        <row r="78">
          <cell r="B78">
            <v>5220</v>
          </cell>
          <cell r="C78" t="str">
            <v>Salaries, Fringe Benefits And Related Taxes</v>
          </cell>
        </row>
        <row r="79">
          <cell r="B79">
            <v>5220</v>
          </cell>
          <cell r="C79" t="str">
            <v>Salaries, Fringe Benefits And Related Taxes</v>
          </cell>
        </row>
        <row r="80">
          <cell r="B80">
            <v>5220</v>
          </cell>
          <cell r="C80" t="str">
            <v>Salaries, Fringe Benefits And Related Taxes</v>
          </cell>
        </row>
        <row r="81">
          <cell r="B81">
            <v>5230</v>
          </cell>
          <cell r="C81" t="str">
            <v>Salaries, Fringe Benefits And Related Taxes</v>
          </cell>
        </row>
        <row r="82">
          <cell r="B82">
            <v>5230</v>
          </cell>
          <cell r="C82" t="str">
            <v>Salaries, Fringe Benefits And Related Taxes</v>
          </cell>
        </row>
        <row r="83">
          <cell r="B83">
            <v>5230</v>
          </cell>
          <cell r="C83" t="str">
            <v>Salaries, Fringe Benefits And Related Taxes</v>
          </cell>
        </row>
        <row r="84">
          <cell r="B84">
            <v>5230</v>
          </cell>
          <cell r="C84" t="str">
            <v>Salaries, Fringe Benefits And Related Taxes</v>
          </cell>
        </row>
        <row r="85">
          <cell r="B85">
            <v>5230</v>
          </cell>
          <cell r="C85" t="str">
            <v>Salaries, Fringe Benefits And Related Taxes</v>
          </cell>
        </row>
        <row r="86">
          <cell r="B86">
            <v>5230</v>
          </cell>
          <cell r="C86" t="str">
            <v>Salaries, Fringe Benefits And Related Taxes</v>
          </cell>
        </row>
        <row r="87">
          <cell r="B87">
            <v>5230</v>
          </cell>
          <cell r="C87" t="str">
            <v>Salaries, Fringe Benefits And Related Taxes</v>
          </cell>
        </row>
        <row r="88">
          <cell r="B88">
            <v>5230</v>
          </cell>
          <cell r="C88" t="str">
            <v>Salaries, Fringe Benefits And Related Taxes</v>
          </cell>
        </row>
        <row r="89">
          <cell r="B89">
            <v>5230</v>
          </cell>
          <cell r="C89" t="str">
            <v>Salaries, Fringe Benefits And Related Taxes</v>
          </cell>
        </row>
        <row r="90">
          <cell r="B90">
            <v>5230</v>
          </cell>
          <cell r="C90" t="str">
            <v>Salaries, Fringe Benefits And Related Taxes</v>
          </cell>
        </row>
        <row r="91">
          <cell r="B91">
            <v>5230</v>
          </cell>
          <cell r="C91" t="str">
            <v>Salaries, Fringe Benefits And Related Taxes</v>
          </cell>
        </row>
        <row r="92">
          <cell r="B92">
            <v>5230</v>
          </cell>
          <cell r="C92" t="str">
            <v>Salaries, Fringe Benefits And Related Taxes</v>
          </cell>
        </row>
        <row r="93">
          <cell r="B93">
            <v>5230</v>
          </cell>
          <cell r="C93" t="str">
            <v>Salaries, Fringe Benefits And Related Taxes</v>
          </cell>
        </row>
        <row r="94">
          <cell r="B94">
            <v>5230</v>
          </cell>
          <cell r="C94" t="str">
            <v>Salaries, Fringe Benefits And Related Taxes</v>
          </cell>
        </row>
        <row r="95">
          <cell r="B95">
            <v>5230</v>
          </cell>
          <cell r="C95" t="str">
            <v>Salaries, Fringe Benefits And Related Taxes</v>
          </cell>
        </row>
        <row r="96">
          <cell r="B96">
            <v>5230</v>
          </cell>
          <cell r="C96" t="str">
            <v>Salaries, Fringe Benefits And Related Taxes</v>
          </cell>
        </row>
        <row r="97">
          <cell r="B97">
            <v>5230</v>
          </cell>
          <cell r="C97" t="str">
            <v>Salaries, Fringe Benefits And Related Taxes</v>
          </cell>
        </row>
        <row r="98">
          <cell r="B98">
            <v>5230</v>
          </cell>
          <cell r="C98" t="str">
            <v>Salaries, Fringe Benefits And Related Taxes</v>
          </cell>
        </row>
        <row r="99">
          <cell r="B99">
            <v>5230</v>
          </cell>
          <cell r="C99" t="str">
            <v>Salaries, Fringe Benefits And Related Taxes</v>
          </cell>
        </row>
        <row r="100">
          <cell r="B100">
            <v>5230</v>
          </cell>
          <cell r="C100" t="str">
            <v>Salaries, Fringe Benefits And Related Taxes</v>
          </cell>
        </row>
        <row r="101">
          <cell r="B101">
            <v>5230</v>
          </cell>
          <cell r="C101" t="str">
            <v>Salaries, Fringe Benefits And Related Taxes</v>
          </cell>
        </row>
        <row r="102">
          <cell r="B102">
            <v>5235</v>
          </cell>
          <cell r="C102" t="str">
            <v>Salaries, Fringe Benefits And Related Taxes</v>
          </cell>
        </row>
        <row r="103">
          <cell r="B103">
            <v>5246</v>
          </cell>
          <cell r="C103" t="str">
            <v>Salaries, Fringe Benefits And Related Taxes</v>
          </cell>
        </row>
        <row r="104">
          <cell r="B104">
            <v>5246</v>
          </cell>
          <cell r="C104" t="str">
            <v>Salaries, Fringe Benefits And Related Taxes</v>
          </cell>
        </row>
        <row r="105">
          <cell r="B105">
            <v>5246</v>
          </cell>
          <cell r="C105" t="str">
            <v>Salaries, Fringe Benefits And Related Taxes</v>
          </cell>
        </row>
        <row r="106">
          <cell r="B106">
            <v>5246</v>
          </cell>
          <cell r="C106" t="str">
            <v>Salaries, Fringe Benefits And Related Taxes</v>
          </cell>
        </row>
        <row r="107">
          <cell r="B107">
            <v>5246</v>
          </cell>
          <cell r="C107" t="str">
            <v>Salaries, Fringe Benefits And Related Taxes</v>
          </cell>
        </row>
        <row r="108">
          <cell r="B108">
            <v>5246</v>
          </cell>
          <cell r="C108" t="str">
            <v>Salaries, Fringe Benefits And Related Taxes</v>
          </cell>
        </row>
        <row r="109">
          <cell r="B109">
            <v>5246</v>
          </cell>
          <cell r="C109" t="str">
            <v>Salaries, Fringe Benefits And Related Taxes</v>
          </cell>
        </row>
        <row r="110">
          <cell r="B110">
            <v>5246</v>
          </cell>
          <cell r="C110" t="str">
            <v>Salaries, Fringe Benefits And Related Taxes</v>
          </cell>
        </row>
        <row r="111">
          <cell r="B111">
            <v>5246</v>
          </cell>
          <cell r="C111" t="str">
            <v>Salaries, Fringe Benefits And Related Taxes</v>
          </cell>
        </row>
        <row r="112">
          <cell r="B112">
            <v>5246</v>
          </cell>
          <cell r="C112" t="str">
            <v>Salaries, Fringe Benefits And Related Taxes</v>
          </cell>
        </row>
        <row r="113">
          <cell r="B113">
            <v>5246</v>
          </cell>
          <cell r="C113" t="str">
            <v>Salaries, Fringe Benefits And Related Taxes</v>
          </cell>
        </row>
        <row r="114">
          <cell r="B114">
            <v>5246</v>
          </cell>
          <cell r="C114" t="str">
            <v>Salaries, Fringe Benefits And Related Taxes</v>
          </cell>
        </row>
        <row r="115">
          <cell r="B115">
            <v>5246</v>
          </cell>
          <cell r="C115" t="str">
            <v>Salaries, Fringe Benefits And Related Taxes</v>
          </cell>
        </row>
        <row r="116">
          <cell r="B116">
            <v>5246</v>
          </cell>
          <cell r="C116" t="str">
            <v>Salaries, Fringe Benefits And Related Taxes</v>
          </cell>
        </row>
        <row r="117">
          <cell r="B117">
            <v>5246</v>
          </cell>
          <cell r="C117" t="str">
            <v>Salaries, Fringe Benefits And Related Taxes</v>
          </cell>
        </row>
        <row r="118">
          <cell r="B118">
            <v>5246</v>
          </cell>
          <cell r="C118" t="str">
            <v>Salaries, Fringe Benefits And Related Taxes</v>
          </cell>
        </row>
        <row r="119">
          <cell r="B119">
            <v>5246</v>
          </cell>
          <cell r="C119" t="str">
            <v>Salaries, Fringe Benefits And Related Taxes</v>
          </cell>
        </row>
        <row r="120">
          <cell r="B120">
            <v>5246</v>
          </cell>
          <cell r="C120" t="str">
            <v>Salaries, Fringe Benefits And Related Taxes</v>
          </cell>
        </row>
        <row r="121">
          <cell r="B121">
            <v>5246</v>
          </cell>
          <cell r="C121" t="str">
            <v>Salaries, Fringe Benefits And Related Taxes</v>
          </cell>
        </row>
        <row r="122">
          <cell r="B122">
            <v>5246</v>
          </cell>
          <cell r="C122" t="str">
            <v>Salaries, Fringe Benefits And Related Taxes</v>
          </cell>
        </row>
        <row r="123">
          <cell r="B123">
            <v>5246</v>
          </cell>
          <cell r="C123" t="str">
            <v>Salaries, Fringe Benefits And Related Taxes</v>
          </cell>
        </row>
        <row r="124">
          <cell r="B124">
            <v>5250</v>
          </cell>
          <cell r="C124" t="str">
            <v>Salaries, Fringe Benefits And Related Taxes</v>
          </cell>
        </row>
        <row r="125">
          <cell r="B125">
            <v>5250</v>
          </cell>
          <cell r="C125" t="str">
            <v>Salaries, Fringe Benefits And Related Taxes</v>
          </cell>
        </row>
        <row r="126">
          <cell r="B126">
            <v>5250</v>
          </cell>
          <cell r="C126" t="str">
            <v>Salaries, Fringe Benefits And Related Taxes</v>
          </cell>
        </row>
        <row r="127">
          <cell r="B127">
            <v>5250</v>
          </cell>
          <cell r="C127" t="str">
            <v>Salaries, Fringe Benefits And Related Taxes</v>
          </cell>
        </row>
        <row r="128">
          <cell r="B128">
            <v>5250</v>
          </cell>
          <cell r="C128" t="str">
            <v>Salaries, Fringe Benefits And Related Taxes</v>
          </cell>
        </row>
        <row r="129">
          <cell r="B129">
            <v>5250</v>
          </cell>
          <cell r="C129" t="str">
            <v>Salaries, Fringe Benefits And Related Taxes</v>
          </cell>
        </row>
        <row r="130">
          <cell r="B130">
            <v>5250</v>
          </cell>
          <cell r="C130" t="str">
            <v>Salaries, Fringe Benefits And Related Taxes</v>
          </cell>
        </row>
        <row r="131">
          <cell r="B131">
            <v>5250</v>
          </cell>
          <cell r="C131" t="str">
            <v>Salaries, Fringe Benefits And Related Taxes</v>
          </cell>
        </row>
        <row r="132">
          <cell r="B132">
            <v>5250</v>
          </cell>
          <cell r="C132" t="str">
            <v>Salaries, Fringe Benefits And Related Taxes</v>
          </cell>
        </row>
        <row r="133">
          <cell r="B133">
            <v>5250</v>
          </cell>
          <cell r="C133" t="str">
            <v>Salaries, Fringe Benefits And Related Taxes</v>
          </cell>
        </row>
        <row r="134">
          <cell r="B134">
            <v>5250</v>
          </cell>
          <cell r="C134" t="str">
            <v>Salaries, Fringe Benefits And Related Taxes</v>
          </cell>
        </row>
        <row r="135">
          <cell r="B135">
            <v>5250</v>
          </cell>
          <cell r="C135" t="str">
            <v>Salaries, Fringe Benefits And Related Taxes</v>
          </cell>
        </row>
        <row r="136">
          <cell r="B136">
            <v>5250</v>
          </cell>
          <cell r="C136" t="str">
            <v>Salaries, Fringe Benefits And Related Taxes</v>
          </cell>
        </row>
        <row r="137">
          <cell r="B137">
            <v>5250</v>
          </cell>
          <cell r="C137" t="str">
            <v>Salaries, Fringe Benefits And Related Taxes</v>
          </cell>
        </row>
        <row r="138">
          <cell r="B138">
            <v>5250</v>
          </cell>
          <cell r="C138" t="str">
            <v>Salaries, Fringe Benefits And Related Taxes</v>
          </cell>
        </row>
        <row r="139">
          <cell r="B139">
            <v>5250</v>
          </cell>
          <cell r="C139" t="str">
            <v>Salaries, Fringe Benefits And Related Taxes</v>
          </cell>
        </row>
        <row r="140">
          <cell r="B140">
            <v>5250</v>
          </cell>
          <cell r="C140" t="str">
            <v>Salaries, Fringe Benefits And Related Taxes</v>
          </cell>
        </row>
        <row r="141">
          <cell r="B141">
            <v>5250</v>
          </cell>
          <cell r="C141" t="str">
            <v>Salaries, Fringe Benefits And Related Taxes</v>
          </cell>
        </row>
        <row r="142">
          <cell r="B142">
            <v>5250</v>
          </cell>
          <cell r="C142" t="str">
            <v>Salaries, Fringe Benefits And Related Taxes</v>
          </cell>
        </row>
        <row r="143">
          <cell r="B143">
            <v>5250</v>
          </cell>
          <cell r="C143" t="str">
            <v>Salaries, Fringe Benefits And Related Taxes</v>
          </cell>
        </row>
        <row r="144">
          <cell r="B144">
            <v>5250</v>
          </cell>
          <cell r="C144" t="str">
            <v>Salaries, Fringe Benefits And Related Taxes</v>
          </cell>
        </row>
        <row r="145">
          <cell r="B145">
            <v>5255</v>
          </cell>
          <cell r="C145" t="str">
            <v>Salaries, Fringe Benefits And Related Taxes</v>
          </cell>
        </row>
        <row r="146">
          <cell r="B146">
            <v>5260</v>
          </cell>
          <cell r="C146" t="str">
            <v>Salaries, Fringe Benefits And Related Taxes</v>
          </cell>
        </row>
        <row r="147">
          <cell r="B147">
            <v>5260</v>
          </cell>
          <cell r="C147" t="str">
            <v>Salaries, Fringe Benefits And Related Taxes</v>
          </cell>
        </row>
        <row r="148">
          <cell r="B148">
            <v>5260</v>
          </cell>
          <cell r="C148" t="str">
            <v>Salaries, Fringe Benefits And Related Taxes</v>
          </cell>
        </row>
        <row r="149">
          <cell r="B149">
            <v>5260</v>
          </cell>
          <cell r="C149" t="str">
            <v>Salaries, Fringe Benefits And Related Taxes</v>
          </cell>
        </row>
        <row r="150">
          <cell r="B150">
            <v>5260</v>
          </cell>
          <cell r="C150" t="str">
            <v>Salaries, Fringe Benefits And Related Taxes</v>
          </cell>
        </row>
        <row r="151">
          <cell r="B151">
            <v>5265</v>
          </cell>
          <cell r="C151" t="str">
            <v>Salaries, Fringe Benefits And Related Taxes</v>
          </cell>
        </row>
        <row r="152">
          <cell r="B152">
            <v>5265</v>
          </cell>
          <cell r="C152" t="str">
            <v>Salaries, Fringe Benefits And Related Taxes</v>
          </cell>
        </row>
        <row r="153">
          <cell r="B153">
            <v>5265</v>
          </cell>
          <cell r="C153" t="str">
            <v>Salaries, Fringe Benefits And Related Taxes</v>
          </cell>
        </row>
        <row r="154">
          <cell r="B154">
            <v>5270</v>
          </cell>
          <cell r="C154" t="str">
            <v>Salaries, Fringe Benefits And Related Taxes</v>
          </cell>
        </row>
        <row r="155">
          <cell r="B155">
            <v>5310</v>
          </cell>
          <cell r="C155" t="str">
            <v>Salaries, Fringe Benefits And Related Taxes</v>
          </cell>
        </row>
        <row r="156">
          <cell r="B156">
            <v>5310</v>
          </cell>
          <cell r="C156" t="str">
            <v>Salaries, Fringe Benefits And Related Taxes</v>
          </cell>
        </row>
        <row r="157">
          <cell r="B157">
            <v>5320</v>
          </cell>
          <cell r="C157" t="str">
            <v>Salaries, Fringe Benefits And Related Taxes</v>
          </cell>
        </row>
        <row r="158">
          <cell r="B158">
            <v>5320</v>
          </cell>
          <cell r="C158" t="str">
            <v>Salaries, Fringe Benefits And Related Taxes</v>
          </cell>
        </row>
        <row r="159">
          <cell r="B159">
            <v>5330</v>
          </cell>
          <cell r="C159" t="str">
            <v>Salaries, Fringe Benefits And Related Taxes</v>
          </cell>
        </row>
        <row r="160">
          <cell r="B160">
            <v>5330</v>
          </cell>
          <cell r="C160" t="str">
            <v>Salaries, Fringe Benefits And Related Taxes</v>
          </cell>
        </row>
        <row r="161">
          <cell r="B161">
            <v>6100</v>
          </cell>
          <cell r="C161" t="str">
            <v>Training And Professional Development 1</v>
          </cell>
        </row>
        <row r="162">
          <cell r="B162">
            <v>6100</v>
          </cell>
          <cell r="C162" t="str">
            <v>Training And Professional Development 1</v>
          </cell>
        </row>
        <row r="163">
          <cell r="B163">
            <v>6100</v>
          </cell>
          <cell r="C163" t="str">
            <v>Training And Professional Development 1</v>
          </cell>
        </row>
        <row r="164">
          <cell r="B164">
            <v>6100</v>
          </cell>
          <cell r="C164" t="str">
            <v>Training And Professional Development 1</v>
          </cell>
        </row>
        <row r="165">
          <cell r="B165">
            <v>6100</v>
          </cell>
          <cell r="C165" t="str">
            <v>Training And Professional Development 1</v>
          </cell>
        </row>
        <row r="166">
          <cell r="B166">
            <v>6100</v>
          </cell>
          <cell r="C166" t="str">
            <v>Training And Professional Development 1</v>
          </cell>
        </row>
        <row r="167">
          <cell r="B167">
            <v>6100</v>
          </cell>
          <cell r="C167" t="str">
            <v>Training And Professional Development 1</v>
          </cell>
        </row>
        <row r="168">
          <cell r="B168">
            <v>6100</v>
          </cell>
          <cell r="C168" t="str">
            <v>Training And Professional Development 1</v>
          </cell>
        </row>
        <row r="169">
          <cell r="B169">
            <v>6100</v>
          </cell>
          <cell r="C169" t="str">
            <v>Training And Professional Development 1</v>
          </cell>
        </row>
        <row r="170">
          <cell r="B170">
            <v>6100</v>
          </cell>
          <cell r="C170" t="str">
            <v>Training And Professional Development 1</v>
          </cell>
        </row>
        <row r="171">
          <cell r="B171">
            <v>6100</v>
          </cell>
          <cell r="C171" t="str">
            <v>Training And Professional Development 1</v>
          </cell>
        </row>
        <row r="172">
          <cell r="B172">
            <v>6100</v>
          </cell>
          <cell r="C172" t="str">
            <v>Training And Professional Development 1</v>
          </cell>
        </row>
        <row r="173">
          <cell r="B173">
            <v>6100</v>
          </cell>
          <cell r="C173" t="str">
            <v>Training And Professional Development 1</v>
          </cell>
        </row>
        <row r="174">
          <cell r="B174">
            <v>6100</v>
          </cell>
          <cell r="C174" t="str">
            <v>Training And Professional Development 1</v>
          </cell>
        </row>
        <row r="175">
          <cell r="B175">
            <v>6100</v>
          </cell>
          <cell r="C175" t="str">
            <v>Training And Professional Development 1</v>
          </cell>
        </row>
        <row r="176">
          <cell r="B176">
            <v>6100</v>
          </cell>
          <cell r="C176" t="str">
            <v>Training And Professional Development 1</v>
          </cell>
        </row>
        <row r="177">
          <cell r="B177">
            <v>6100</v>
          </cell>
          <cell r="C177" t="str">
            <v>Training And Professional Development 1</v>
          </cell>
        </row>
        <row r="178">
          <cell r="B178">
            <v>6100</v>
          </cell>
          <cell r="C178" t="str">
            <v>Training And Professional Development 1</v>
          </cell>
        </row>
        <row r="179">
          <cell r="B179">
            <v>6100</v>
          </cell>
          <cell r="C179" t="str">
            <v>Training And Professional Development 1</v>
          </cell>
        </row>
        <row r="180">
          <cell r="B180">
            <v>6100</v>
          </cell>
          <cell r="C180" t="str">
            <v>Training And Professional Development 1</v>
          </cell>
        </row>
        <row r="181">
          <cell r="B181">
            <v>6100</v>
          </cell>
          <cell r="C181" t="str">
            <v>Training And Professional Development 1</v>
          </cell>
        </row>
        <row r="182">
          <cell r="B182">
            <v>6100</v>
          </cell>
          <cell r="C182" t="str">
            <v>Training And Professional Development 1</v>
          </cell>
        </row>
        <row r="183">
          <cell r="B183">
            <v>6100</v>
          </cell>
          <cell r="C183" t="str">
            <v>Training And Professional Development 1</v>
          </cell>
        </row>
        <row r="184">
          <cell r="B184">
            <v>6100</v>
          </cell>
          <cell r="C184" t="str">
            <v>Training And Professional Development 1</v>
          </cell>
        </row>
        <row r="185">
          <cell r="B185">
            <v>6100</v>
          </cell>
          <cell r="C185" t="str">
            <v>Training And Professional Development 1</v>
          </cell>
        </row>
        <row r="186">
          <cell r="B186">
            <v>6100</v>
          </cell>
          <cell r="C186" t="str">
            <v>Training And Professional Development 1</v>
          </cell>
        </row>
        <row r="187">
          <cell r="B187">
            <v>6100</v>
          </cell>
          <cell r="C187" t="str">
            <v>Training And Professional Development 1</v>
          </cell>
        </row>
        <row r="188">
          <cell r="B188">
            <v>6100</v>
          </cell>
          <cell r="C188" t="str">
            <v>Training And Professional Development 1</v>
          </cell>
        </row>
        <row r="189">
          <cell r="B189">
            <v>6100</v>
          </cell>
          <cell r="C189" t="str">
            <v>Training And Professional Development 1</v>
          </cell>
        </row>
        <row r="190">
          <cell r="B190">
            <v>6100</v>
          </cell>
          <cell r="C190" t="str">
            <v>Training And Professional Development 1</v>
          </cell>
        </row>
        <row r="191">
          <cell r="B191">
            <v>6100</v>
          </cell>
          <cell r="C191" t="str">
            <v>Training And Professional Development 1</v>
          </cell>
        </row>
        <row r="192">
          <cell r="B192">
            <v>6100</v>
          </cell>
          <cell r="C192" t="str">
            <v>Training And Professional Development 1</v>
          </cell>
        </row>
        <row r="193">
          <cell r="B193">
            <v>6100</v>
          </cell>
          <cell r="C193" t="str">
            <v>Training And Professional Development 1</v>
          </cell>
        </row>
        <row r="194">
          <cell r="B194">
            <v>6100</v>
          </cell>
          <cell r="C194" t="str">
            <v>Training And Professional Development 1</v>
          </cell>
        </row>
        <row r="195">
          <cell r="B195">
            <v>6100</v>
          </cell>
          <cell r="C195" t="str">
            <v>Training And Professional Development 1</v>
          </cell>
        </row>
        <row r="196">
          <cell r="B196">
            <v>6100</v>
          </cell>
          <cell r="C196" t="str">
            <v>Training And Professional Development 1</v>
          </cell>
        </row>
        <row r="197">
          <cell r="B197">
            <v>6100</v>
          </cell>
          <cell r="C197" t="str">
            <v>Training And Professional Development 1</v>
          </cell>
        </row>
        <row r="198">
          <cell r="B198">
            <v>6100</v>
          </cell>
          <cell r="C198" t="str">
            <v>Training And Professional Development 1</v>
          </cell>
        </row>
        <row r="199">
          <cell r="B199">
            <v>6100</v>
          </cell>
          <cell r="C199" t="str">
            <v>Training And Professional Development 1</v>
          </cell>
        </row>
        <row r="200">
          <cell r="B200">
            <v>6100</v>
          </cell>
          <cell r="C200" t="str">
            <v>Training And Professional Development 1</v>
          </cell>
        </row>
        <row r="201">
          <cell r="B201">
            <v>6100</v>
          </cell>
          <cell r="C201" t="str">
            <v>Training And Professional Development 1</v>
          </cell>
        </row>
        <row r="202">
          <cell r="B202">
            <v>6100</v>
          </cell>
          <cell r="C202" t="str">
            <v>Training And Professional Development 1</v>
          </cell>
        </row>
        <row r="203">
          <cell r="B203">
            <v>6100</v>
          </cell>
          <cell r="C203" t="str">
            <v>Training And Professional Development 1</v>
          </cell>
        </row>
        <row r="204">
          <cell r="B204">
            <v>6200</v>
          </cell>
          <cell r="C204" t="str">
            <v>Instructional Supplies</v>
          </cell>
        </row>
        <row r="205">
          <cell r="B205">
            <v>6200</v>
          </cell>
          <cell r="C205" t="str">
            <v>Instructional Supplies</v>
          </cell>
        </row>
        <row r="206">
          <cell r="B206">
            <v>6200</v>
          </cell>
          <cell r="C206" t="str">
            <v>Instructional Supplies</v>
          </cell>
        </row>
        <row r="207">
          <cell r="B207">
            <v>6200</v>
          </cell>
          <cell r="C207" t="str">
            <v>Instructional Supplies</v>
          </cell>
        </row>
        <row r="208">
          <cell r="B208">
            <v>6200</v>
          </cell>
          <cell r="C208" t="str">
            <v>Instructional Supplies</v>
          </cell>
        </row>
        <row r="209">
          <cell r="B209">
            <v>6200</v>
          </cell>
          <cell r="C209" t="str">
            <v>Instructional Supplies</v>
          </cell>
        </row>
        <row r="210">
          <cell r="B210">
            <v>6200</v>
          </cell>
          <cell r="C210" t="str">
            <v>Instructional Supplies</v>
          </cell>
        </row>
        <row r="211">
          <cell r="B211">
            <v>6200</v>
          </cell>
          <cell r="C211" t="str">
            <v>Instructional Supplies</v>
          </cell>
        </row>
        <row r="212">
          <cell r="B212">
            <v>6200</v>
          </cell>
          <cell r="C212" t="str">
            <v>Instructional Supplies</v>
          </cell>
        </row>
        <row r="213">
          <cell r="B213">
            <v>6300</v>
          </cell>
          <cell r="C213" t="str">
            <v>Instructional Supplies</v>
          </cell>
        </row>
        <row r="214">
          <cell r="B214">
            <v>6300</v>
          </cell>
          <cell r="C214" t="str">
            <v>Instructional Supplies</v>
          </cell>
        </row>
        <row r="215">
          <cell r="B215">
            <v>6300</v>
          </cell>
          <cell r="C215" t="str">
            <v>Instructional Supplies</v>
          </cell>
        </row>
        <row r="216">
          <cell r="B216">
            <v>6300</v>
          </cell>
          <cell r="C216" t="str">
            <v>Instructional Supplies</v>
          </cell>
        </row>
        <row r="217">
          <cell r="B217">
            <v>6300</v>
          </cell>
          <cell r="C217" t="str">
            <v>Instructional Supplies</v>
          </cell>
        </row>
        <row r="218">
          <cell r="B218">
            <v>6300</v>
          </cell>
          <cell r="C218" t="str">
            <v>Instructional Supplies</v>
          </cell>
        </row>
        <row r="219">
          <cell r="B219">
            <v>6300</v>
          </cell>
          <cell r="C219" t="str">
            <v>Instructional Supplies</v>
          </cell>
        </row>
        <row r="220">
          <cell r="B220">
            <v>6300</v>
          </cell>
          <cell r="C220" t="str">
            <v>Instructional Supplies</v>
          </cell>
        </row>
        <row r="221">
          <cell r="B221">
            <v>6300</v>
          </cell>
          <cell r="C221" t="str">
            <v>Instructional Supplies</v>
          </cell>
        </row>
        <row r="222">
          <cell r="B222">
            <v>6300</v>
          </cell>
          <cell r="C222" t="str">
            <v>Instructional Supplies</v>
          </cell>
        </row>
        <row r="223">
          <cell r="B223">
            <v>6300</v>
          </cell>
          <cell r="C223" t="str">
            <v>Instructional Supplies</v>
          </cell>
        </row>
        <row r="224">
          <cell r="B224">
            <v>6300</v>
          </cell>
          <cell r="C224" t="str">
            <v>Instructional Supplies</v>
          </cell>
        </row>
        <row r="225">
          <cell r="B225">
            <v>6300</v>
          </cell>
          <cell r="C225" t="str">
            <v>Instructional Supplies</v>
          </cell>
        </row>
        <row r="226">
          <cell r="B226">
            <v>6300</v>
          </cell>
          <cell r="C226" t="str">
            <v>Instructional Supplies</v>
          </cell>
        </row>
        <row r="227">
          <cell r="B227">
            <v>6300</v>
          </cell>
          <cell r="C227" t="str">
            <v>Instructional Supplies</v>
          </cell>
        </row>
        <row r="228">
          <cell r="B228">
            <v>6300</v>
          </cell>
          <cell r="C228" t="str">
            <v>Instructional Supplies</v>
          </cell>
        </row>
        <row r="229">
          <cell r="B229">
            <v>6300</v>
          </cell>
          <cell r="C229" t="str">
            <v>Instructional Supplies</v>
          </cell>
        </row>
        <row r="230">
          <cell r="B230">
            <v>6300</v>
          </cell>
          <cell r="C230" t="str">
            <v>Instructional Supplies</v>
          </cell>
        </row>
        <row r="231">
          <cell r="B231">
            <v>6300</v>
          </cell>
          <cell r="C231" t="str">
            <v>Instructional Supplies</v>
          </cell>
        </row>
        <row r="232">
          <cell r="B232">
            <v>6300</v>
          </cell>
          <cell r="C232" t="str">
            <v>Instructional Supplies</v>
          </cell>
        </row>
        <row r="233">
          <cell r="B233">
            <v>6300</v>
          </cell>
          <cell r="C233" t="str">
            <v>Instructional Supplies</v>
          </cell>
        </row>
        <row r="234">
          <cell r="B234">
            <v>6300</v>
          </cell>
          <cell r="C234" t="str">
            <v>Instructional Supplies</v>
          </cell>
        </row>
        <row r="235">
          <cell r="B235">
            <v>6300</v>
          </cell>
          <cell r="C235" t="str">
            <v>Instructional Supplies</v>
          </cell>
        </row>
        <row r="236">
          <cell r="B236">
            <v>6400</v>
          </cell>
          <cell r="C236" t="str">
            <v>Instructional Supplies</v>
          </cell>
        </row>
        <row r="237">
          <cell r="B237">
            <v>6400</v>
          </cell>
          <cell r="C237" t="str">
            <v>Instructional Supplies</v>
          </cell>
        </row>
        <row r="238">
          <cell r="B238">
            <v>6400</v>
          </cell>
          <cell r="C238" t="str">
            <v>Instructional Supplies</v>
          </cell>
        </row>
        <row r="239">
          <cell r="B239">
            <v>6400</v>
          </cell>
          <cell r="C239" t="str">
            <v>Instructional Supplies</v>
          </cell>
        </row>
        <row r="240">
          <cell r="B240">
            <v>6400</v>
          </cell>
          <cell r="C240" t="str">
            <v>Instructional Supplies</v>
          </cell>
        </row>
        <row r="241">
          <cell r="B241">
            <v>6400</v>
          </cell>
          <cell r="C241" t="str">
            <v>Instructional Supplies</v>
          </cell>
        </row>
        <row r="242">
          <cell r="B242">
            <v>6400</v>
          </cell>
          <cell r="C242" t="str">
            <v>Instructional Supplies</v>
          </cell>
        </row>
        <row r="243">
          <cell r="B243">
            <v>6500</v>
          </cell>
          <cell r="C243" t="str">
            <v>Instructional Supplies</v>
          </cell>
        </row>
        <row r="244">
          <cell r="B244">
            <v>6500</v>
          </cell>
          <cell r="C244" t="str">
            <v>Instructional Supplies</v>
          </cell>
        </row>
        <row r="245">
          <cell r="B245">
            <v>6500</v>
          </cell>
          <cell r="C245" t="str">
            <v>Instructional Supplies</v>
          </cell>
        </row>
        <row r="246">
          <cell r="B246">
            <v>6500</v>
          </cell>
          <cell r="C246" t="str">
            <v>Instructional Supplies</v>
          </cell>
        </row>
        <row r="247">
          <cell r="B247">
            <v>6500</v>
          </cell>
          <cell r="C247" t="str">
            <v>Instructional Supplies</v>
          </cell>
        </row>
        <row r="248">
          <cell r="B248">
            <v>6500</v>
          </cell>
          <cell r="C248" t="str">
            <v>Instructional Supplies</v>
          </cell>
        </row>
        <row r="249">
          <cell r="B249">
            <v>6550</v>
          </cell>
          <cell r="C249" t="str">
            <v>Instructional Supplies</v>
          </cell>
        </row>
        <row r="250">
          <cell r="B250">
            <v>6600</v>
          </cell>
          <cell r="C250" t="str">
            <v>Instructional Supplies</v>
          </cell>
        </row>
        <row r="251">
          <cell r="B251">
            <v>6600</v>
          </cell>
          <cell r="C251" t="str">
            <v>Instructional Supplies</v>
          </cell>
        </row>
        <row r="252">
          <cell r="B252">
            <v>6600</v>
          </cell>
          <cell r="C252" t="str">
            <v>Instructional Supplies</v>
          </cell>
        </row>
        <row r="253">
          <cell r="B253">
            <v>6600</v>
          </cell>
          <cell r="C253" t="str">
            <v>Instructional Supplies</v>
          </cell>
        </row>
        <row r="254">
          <cell r="B254">
            <v>6700</v>
          </cell>
          <cell r="C254" t="str">
            <v>Instructional Supplies</v>
          </cell>
        </row>
        <row r="255">
          <cell r="B255">
            <v>6700</v>
          </cell>
          <cell r="C255" t="str">
            <v>Instructional Supplies</v>
          </cell>
        </row>
        <row r="256">
          <cell r="B256">
            <v>6700</v>
          </cell>
          <cell r="C256" t="str">
            <v>Instructional Supplies</v>
          </cell>
        </row>
        <row r="257">
          <cell r="B257">
            <v>6700</v>
          </cell>
          <cell r="C257" t="str">
            <v>Instructional Supplies</v>
          </cell>
        </row>
        <row r="258">
          <cell r="B258">
            <v>6700</v>
          </cell>
          <cell r="C258" t="str">
            <v>Instructional Supplies</v>
          </cell>
        </row>
        <row r="259">
          <cell r="B259">
            <v>6700</v>
          </cell>
          <cell r="C259" t="str">
            <v>Instructional Supplies</v>
          </cell>
        </row>
        <row r="260">
          <cell r="B260">
            <v>6700</v>
          </cell>
          <cell r="C260" t="str">
            <v>Instructional Supplies</v>
          </cell>
        </row>
        <row r="261">
          <cell r="B261">
            <v>6800</v>
          </cell>
          <cell r="C261" t="str">
            <v>Consulting Fees</v>
          </cell>
        </row>
        <row r="262">
          <cell r="B262">
            <v>6800</v>
          </cell>
          <cell r="C262" t="str">
            <v>Consulting Fees</v>
          </cell>
        </row>
        <row r="263">
          <cell r="B263">
            <v>6800</v>
          </cell>
          <cell r="C263" t="str">
            <v>Consulting Fees</v>
          </cell>
        </row>
        <row r="264">
          <cell r="B264">
            <v>6800</v>
          </cell>
          <cell r="C264" t="str">
            <v>Consulting Fees</v>
          </cell>
        </row>
        <row r="265">
          <cell r="B265">
            <v>6800</v>
          </cell>
          <cell r="C265" t="str">
            <v>Consulting Fees</v>
          </cell>
        </row>
        <row r="266">
          <cell r="B266">
            <v>6800</v>
          </cell>
          <cell r="C266" t="str">
            <v>Consulting Fees</v>
          </cell>
        </row>
        <row r="267">
          <cell r="B267">
            <v>6800</v>
          </cell>
          <cell r="C267" t="str">
            <v>Consulting Fees</v>
          </cell>
        </row>
        <row r="268">
          <cell r="B268">
            <v>6800</v>
          </cell>
          <cell r="C268" t="str">
            <v>Consulting Fees</v>
          </cell>
        </row>
        <row r="269">
          <cell r="B269">
            <v>6800</v>
          </cell>
          <cell r="C269" t="str">
            <v>Consulting Fees</v>
          </cell>
        </row>
        <row r="270">
          <cell r="B270">
            <v>6800</v>
          </cell>
          <cell r="C270" t="str">
            <v>Consulting Fees</v>
          </cell>
        </row>
        <row r="271">
          <cell r="B271">
            <v>6800</v>
          </cell>
          <cell r="C271" t="str">
            <v>Consulting Fees</v>
          </cell>
        </row>
        <row r="272">
          <cell r="B272">
            <v>6800</v>
          </cell>
          <cell r="C272" t="str">
            <v>Consulting Fees</v>
          </cell>
        </row>
        <row r="273">
          <cell r="B273">
            <v>6800</v>
          </cell>
          <cell r="C273" t="str">
            <v>Consulting Fees</v>
          </cell>
        </row>
        <row r="274">
          <cell r="B274">
            <v>6800</v>
          </cell>
          <cell r="C274" t="str">
            <v>Consulting Fees</v>
          </cell>
        </row>
        <row r="275">
          <cell r="B275">
            <v>6800</v>
          </cell>
          <cell r="C275" t="str">
            <v>Consulting Fees</v>
          </cell>
        </row>
        <row r="276">
          <cell r="B276">
            <v>6800</v>
          </cell>
          <cell r="C276" t="str">
            <v>Consulting Fees</v>
          </cell>
        </row>
        <row r="277">
          <cell r="B277">
            <v>6800</v>
          </cell>
          <cell r="C277" t="str">
            <v>Consulting Fees</v>
          </cell>
        </row>
        <row r="278">
          <cell r="B278">
            <v>6800</v>
          </cell>
          <cell r="C278" t="str">
            <v>Consulting Fees</v>
          </cell>
        </row>
        <row r="279">
          <cell r="B279">
            <v>6900</v>
          </cell>
          <cell r="C279" t="str">
            <v>Miscellaneous</v>
          </cell>
        </row>
        <row r="280">
          <cell r="B280">
            <v>6910</v>
          </cell>
          <cell r="C280" t="str">
            <v>Miscellaneous</v>
          </cell>
        </row>
        <row r="281">
          <cell r="B281">
            <v>6910</v>
          </cell>
          <cell r="C281" t="str">
            <v>Miscellaneous</v>
          </cell>
        </row>
        <row r="282">
          <cell r="B282">
            <v>6910</v>
          </cell>
          <cell r="C282" t="str">
            <v>Miscellaneous</v>
          </cell>
        </row>
        <row r="283">
          <cell r="B283">
            <v>6910</v>
          </cell>
          <cell r="C283" t="str">
            <v>Miscellaneous</v>
          </cell>
        </row>
        <row r="284">
          <cell r="B284">
            <v>6950</v>
          </cell>
          <cell r="C284" t="str">
            <v>Miscellaneous</v>
          </cell>
        </row>
        <row r="285">
          <cell r="B285">
            <v>6950</v>
          </cell>
          <cell r="C285" t="str">
            <v>Miscellaneous</v>
          </cell>
        </row>
        <row r="286">
          <cell r="B286">
            <v>6950</v>
          </cell>
          <cell r="C286" t="str">
            <v>Miscellaneous</v>
          </cell>
        </row>
        <row r="287">
          <cell r="B287">
            <v>6950</v>
          </cell>
          <cell r="C287" t="str">
            <v>Miscellaneous</v>
          </cell>
        </row>
        <row r="288">
          <cell r="B288">
            <v>6950</v>
          </cell>
          <cell r="C288" t="str">
            <v>Miscellaneous</v>
          </cell>
        </row>
        <row r="289">
          <cell r="B289">
            <v>6950</v>
          </cell>
          <cell r="C289" t="str">
            <v>Miscellaneous</v>
          </cell>
        </row>
        <row r="290">
          <cell r="B290">
            <v>6950</v>
          </cell>
          <cell r="C290" t="str">
            <v>Miscellaneous</v>
          </cell>
        </row>
        <row r="291">
          <cell r="B291">
            <v>6950</v>
          </cell>
          <cell r="C291" t="str">
            <v>Miscellaneous</v>
          </cell>
        </row>
        <row r="292">
          <cell r="B292">
            <v>6950</v>
          </cell>
          <cell r="C292" t="str">
            <v>Miscellaneous</v>
          </cell>
        </row>
        <row r="293">
          <cell r="B293">
            <v>6950</v>
          </cell>
          <cell r="C293" t="str">
            <v>Miscellaneous</v>
          </cell>
        </row>
        <row r="294">
          <cell r="B294">
            <v>6950</v>
          </cell>
          <cell r="C294" t="str">
            <v>Miscellaneous</v>
          </cell>
        </row>
        <row r="295">
          <cell r="B295">
            <v>6950</v>
          </cell>
          <cell r="C295" t="str">
            <v>Miscellaneous</v>
          </cell>
        </row>
        <row r="296">
          <cell r="B296">
            <v>6950</v>
          </cell>
          <cell r="C296" t="str">
            <v>Miscellaneous</v>
          </cell>
        </row>
        <row r="297">
          <cell r="B297">
            <v>6950</v>
          </cell>
          <cell r="C297" t="str">
            <v>Miscellaneous</v>
          </cell>
        </row>
        <row r="298">
          <cell r="B298">
            <v>6950</v>
          </cell>
          <cell r="C298" t="str">
            <v>Miscellaneous</v>
          </cell>
        </row>
        <row r="299">
          <cell r="B299">
            <v>7100</v>
          </cell>
          <cell r="C299" t="str">
            <v>Rent</v>
          </cell>
        </row>
        <row r="300">
          <cell r="B300">
            <v>7100</v>
          </cell>
          <cell r="C300" t="str">
            <v>Rent</v>
          </cell>
        </row>
        <row r="301">
          <cell r="B301">
            <v>7100</v>
          </cell>
          <cell r="C301" t="str">
            <v>Rent</v>
          </cell>
        </row>
        <row r="302">
          <cell r="B302">
            <v>7100</v>
          </cell>
          <cell r="C302" t="str">
            <v>Rent</v>
          </cell>
        </row>
        <row r="303">
          <cell r="B303">
            <v>7100</v>
          </cell>
          <cell r="C303" t="str">
            <v>Rent</v>
          </cell>
        </row>
        <row r="304">
          <cell r="B304">
            <v>7200</v>
          </cell>
          <cell r="C304" t="str">
            <v>Maintenance &amp; Repair</v>
          </cell>
        </row>
        <row r="305">
          <cell r="B305">
            <v>7200</v>
          </cell>
          <cell r="C305" t="str">
            <v>Maintenance &amp; Repair</v>
          </cell>
        </row>
        <row r="306">
          <cell r="B306">
            <v>7200</v>
          </cell>
          <cell r="C306" t="str">
            <v>Maintenance &amp; Repair</v>
          </cell>
        </row>
        <row r="307">
          <cell r="B307">
            <v>7200</v>
          </cell>
          <cell r="C307" t="str">
            <v>Maintenance &amp; Repair</v>
          </cell>
        </row>
        <row r="308">
          <cell r="B308">
            <v>7220</v>
          </cell>
          <cell r="C308" t="str">
            <v>Maintenance &amp; Repair</v>
          </cell>
        </row>
        <row r="309">
          <cell r="B309">
            <v>7220</v>
          </cell>
          <cell r="C309" t="str">
            <v>Maintenance &amp; Repair</v>
          </cell>
        </row>
        <row r="310">
          <cell r="B310">
            <v>7220</v>
          </cell>
          <cell r="C310" t="str">
            <v>Maintenance &amp; Repair</v>
          </cell>
        </row>
        <row r="311">
          <cell r="B311">
            <v>7260</v>
          </cell>
          <cell r="C311" t="str">
            <v>Maintenance &amp; Repair</v>
          </cell>
        </row>
        <row r="312">
          <cell r="B312">
            <v>7280</v>
          </cell>
          <cell r="C312" t="str">
            <v>Maintenance &amp; Repair</v>
          </cell>
        </row>
        <row r="313">
          <cell r="B313">
            <v>7280</v>
          </cell>
          <cell r="C313" t="str">
            <v>Maintenance &amp; Repair</v>
          </cell>
        </row>
        <row r="314">
          <cell r="B314">
            <v>7280</v>
          </cell>
          <cell r="C314" t="str">
            <v>Maintenance &amp; Repair</v>
          </cell>
        </row>
        <row r="315">
          <cell r="B315">
            <v>7280</v>
          </cell>
          <cell r="C315" t="str">
            <v>Maintenance &amp; Repair</v>
          </cell>
        </row>
        <row r="316">
          <cell r="B316">
            <v>7280</v>
          </cell>
          <cell r="C316" t="str">
            <v>Maintenance &amp; Repair</v>
          </cell>
        </row>
        <row r="317">
          <cell r="B317">
            <v>7280</v>
          </cell>
          <cell r="C317" t="str">
            <v>Maintenance &amp; Repair</v>
          </cell>
        </row>
        <row r="318">
          <cell r="B318">
            <v>7280</v>
          </cell>
          <cell r="C318" t="str">
            <v>Maintenance &amp; Repair</v>
          </cell>
        </row>
        <row r="319">
          <cell r="B319">
            <v>7290</v>
          </cell>
          <cell r="C319" t="str">
            <v>Maintenance &amp; Repair</v>
          </cell>
        </row>
        <row r="320">
          <cell r="B320">
            <v>7290</v>
          </cell>
          <cell r="C320" t="str">
            <v>Maintenance &amp; Repair</v>
          </cell>
        </row>
        <row r="321">
          <cell r="B321">
            <v>7290</v>
          </cell>
          <cell r="C321" t="str">
            <v>Maintenance &amp; Repair</v>
          </cell>
        </row>
        <row r="322">
          <cell r="B322">
            <v>7290</v>
          </cell>
          <cell r="C322" t="str">
            <v>Maintenance &amp; Repair</v>
          </cell>
        </row>
        <row r="323">
          <cell r="B323">
            <v>7290</v>
          </cell>
          <cell r="C323" t="str">
            <v>Maintenance &amp; Repair</v>
          </cell>
        </row>
        <row r="324">
          <cell r="B324">
            <v>7290</v>
          </cell>
          <cell r="C324" t="str">
            <v>Maintenance &amp; Repair</v>
          </cell>
        </row>
        <row r="325">
          <cell r="B325">
            <v>7290</v>
          </cell>
          <cell r="C325" t="str">
            <v>Maintenance &amp; Repair</v>
          </cell>
        </row>
        <row r="326">
          <cell r="B326">
            <v>7290</v>
          </cell>
          <cell r="C326" t="str">
            <v>Maintenance &amp; Repair</v>
          </cell>
        </row>
        <row r="327">
          <cell r="B327">
            <v>7290</v>
          </cell>
          <cell r="C327" t="str">
            <v>Maintenance &amp; Repair</v>
          </cell>
        </row>
        <row r="328">
          <cell r="B328">
            <v>7290</v>
          </cell>
          <cell r="C328" t="str">
            <v>Maintenance &amp; Repair</v>
          </cell>
        </row>
        <row r="329">
          <cell r="B329">
            <v>7290</v>
          </cell>
          <cell r="C329" t="str">
            <v>Maintenance &amp; Repair</v>
          </cell>
        </row>
        <row r="330">
          <cell r="B330">
            <v>7301</v>
          </cell>
          <cell r="C330" t="str">
            <v>Utilities</v>
          </cell>
        </row>
        <row r="331">
          <cell r="B331">
            <v>7301</v>
          </cell>
          <cell r="C331" t="str">
            <v>Utilities</v>
          </cell>
        </row>
        <row r="332">
          <cell r="B332">
            <v>7301</v>
          </cell>
          <cell r="C332" t="str">
            <v>Utilities</v>
          </cell>
        </row>
        <row r="333">
          <cell r="B333">
            <v>7301</v>
          </cell>
          <cell r="C333" t="str">
            <v>Utilities</v>
          </cell>
        </row>
        <row r="334">
          <cell r="B334">
            <v>7301</v>
          </cell>
          <cell r="C334" t="str">
            <v>Utilities</v>
          </cell>
        </row>
        <row r="335">
          <cell r="B335">
            <v>7302</v>
          </cell>
          <cell r="C335" t="str">
            <v>Utilities</v>
          </cell>
        </row>
        <row r="336">
          <cell r="B336">
            <v>7302</v>
          </cell>
          <cell r="C336" t="str">
            <v>Utilities</v>
          </cell>
        </row>
        <row r="337">
          <cell r="B337">
            <v>7302</v>
          </cell>
          <cell r="C337" t="str">
            <v>Utilities</v>
          </cell>
        </row>
        <row r="338">
          <cell r="B338">
            <v>7303</v>
          </cell>
          <cell r="C338" t="str">
            <v>Utilities</v>
          </cell>
        </row>
        <row r="339">
          <cell r="B339">
            <v>7304</v>
          </cell>
          <cell r="C339" t="str">
            <v>Utilities</v>
          </cell>
        </row>
        <row r="340">
          <cell r="B340">
            <v>7304</v>
          </cell>
          <cell r="C340" t="str">
            <v>Utilities</v>
          </cell>
        </row>
        <row r="341">
          <cell r="B341">
            <v>7304</v>
          </cell>
          <cell r="C341" t="str">
            <v>Utilities</v>
          </cell>
        </row>
        <row r="342">
          <cell r="B342">
            <v>7350</v>
          </cell>
          <cell r="C342" t="str">
            <v>Supplies</v>
          </cell>
        </row>
        <row r="343">
          <cell r="B343">
            <v>7350</v>
          </cell>
          <cell r="C343" t="str">
            <v>Supplies</v>
          </cell>
        </row>
        <row r="344">
          <cell r="B344">
            <v>7350</v>
          </cell>
          <cell r="C344" t="str">
            <v>Supplies</v>
          </cell>
        </row>
        <row r="345">
          <cell r="B345">
            <v>7400</v>
          </cell>
          <cell r="C345" t="str">
            <v>Consulting Fees 2</v>
          </cell>
        </row>
        <row r="346">
          <cell r="B346">
            <v>7400</v>
          </cell>
          <cell r="C346" t="str">
            <v>Consulting Fees 2</v>
          </cell>
        </row>
        <row r="347">
          <cell r="B347">
            <v>7400</v>
          </cell>
          <cell r="C347" t="str">
            <v>Consulting Fees 2</v>
          </cell>
        </row>
        <row r="348">
          <cell r="B348">
            <v>7500</v>
          </cell>
          <cell r="C348" t="str">
            <v>Office Expense</v>
          </cell>
        </row>
        <row r="349">
          <cell r="B349">
            <v>7510</v>
          </cell>
          <cell r="C349" t="str">
            <v>Office Expense</v>
          </cell>
        </row>
        <row r="350">
          <cell r="B350">
            <v>7510</v>
          </cell>
          <cell r="C350" t="str">
            <v>Office Expense</v>
          </cell>
        </row>
        <row r="351">
          <cell r="B351">
            <v>7510</v>
          </cell>
          <cell r="C351" t="str">
            <v>Office Expense</v>
          </cell>
        </row>
        <row r="352">
          <cell r="B352">
            <v>7510</v>
          </cell>
          <cell r="C352" t="str">
            <v>Office Expense</v>
          </cell>
        </row>
        <row r="353">
          <cell r="B353">
            <v>7510</v>
          </cell>
          <cell r="C353" t="str">
            <v>Office Expense</v>
          </cell>
        </row>
        <row r="354">
          <cell r="B354">
            <v>7510</v>
          </cell>
          <cell r="C354" t="str">
            <v>Office Expense</v>
          </cell>
        </row>
        <row r="355">
          <cell r="B355">
            <v>7510</v>
          </cell>
          <cell r="C355" t="str">
            <v>Office Expense</v>
          </cell>
        </row>
        <row r="356">
          <cell r="B356">
            <v>7510</v>
          </cell>
          <cell r="C356" t="str">
            <v>Office Expense</v>
          </cell>
        </row>
        <row r="357">
          <cell r="B357">
            <v>7510</v>
          </cell>
          <cell r="C357" t="str">
            <v>Office Expense</v>
          </cell>
        </row>
        <row r="358">
          <cell r="B358">
            <v>7510</v>
          </cell>
          <cell r="C358" t="str">
            <v>Office Expense</v>
          </cell>
        </row>
        <row r="359">
          <cell r="B359">
            <v>7510</v>
          </cell>
          <cell r="C359" t="str">
            <v>Office Expense</v>
          </cell>
        </row>
        <row r="360">
          <cell r="B360">
            <v>7510</v>
          </cell>
          <cell r="C360" t="str">
            <v>Office Expense</v>
          </cell>
        </row>
        <row r="361">
          <cell r="B361">
            <v>7510</v>
          </cell>
          <cell r="C361" t="str">
            <v>Office Expense</v>
          </cell>
        </row>
        <row r="362">
          <cell r="B362">
            <v>7510</v>
          </cell>
          <cell r="C362" t="str">
            <v>Office Expense</v>
          </cell>
        </row>
        <row r="363">
          <cell r="B363">
            <v>7510</v>
          </cell>
          <cell r="C363" t="str">
            <v>Office Expense</v>
          </cell>
        </row>
        <row r="364">
          <cell r="B364">
            <v>7510</v>
          </cell>
          <cell r="C364" t="str">
            <v>Office Expense</v>
          </cell>
        </row>
        <row r="365">
          <cell r="B365">
            <v>7510</v>
          </cell>
          <cell r="C365" t="str">
            <v>Office Expense</v>
          </cell>
        </row>
        <row r="366">
          <cell r="B366">
            <v>7510</v>
          </cell>
          <cell r="C366" t="str">
            <v>Office Expense</v>
          </cell>
        </row>
        <row r="367">
          <cell r="B367">
            <v>7510</v>
          </cell>
          <cell r="C367" t="str">
            <v>Office Expense</v>
          </cell>
        </row>
        <row r="368">
          <cell r="B368">
            <v>7510</v>
          </cell>
          <cell r="C368" t="str">
            <v>Office Expense</v>
          </cell>
        </row>
        <row r="369">
          <cell r="B369">
            <v>7510</v>
          </cell>
          <cell r="C369" t="str">
            <v>Office Expense</v>
          </cell>
        </row>
        <row r="370">
          <cell r="B370">
            <v>7510</v>
          </cell>
          <cell r="C370" t="str">
            <v>Office Expense</v>
          </cell>
        </row>
        <row r="371">
          <cell r="B371">
            <v>7510</v>
          </cell>
          <cell r="C371" t="str">
            <v>Office Expense</v>
          </cell>
        </row>
        <row r="372">
          <cell r="B372">
            <v>7510</v>
          </cell>
          <cell r="C372" t="str">
            <v>Office Expense</v>
          </cell>
        </row>
        <row r="373">
          <cell r="B373">
            <v>7510</v>
          </cell>
          <cell r="C373" t="str">
            <v>Office Expense</v>
          </cell>
        </row>
        <row r="374">
          <cell r="B374">
            <v>7520</v>
          </cell>
          <cell r="C374" t="str">
            <v>Office Expense</v>
          </cell>
        </row>
        <row r="375">
          <cell r="B375">
            <v>7520</v>
          </cell>
          <cell r="C375" t="str">
            <v>Office Expense</v>
          </cell>
        </row>
        <row r="376">
          <cell r="B376">
            <v>7520</v>
          </cell>
          <cell r="C376" t="str">
            <v>Office Expense</v>
          </cell>
        </row>
        <row r="377">
          <cell r="B377">
            <v>7520</v>
          </cell>
          <cell r="C377" t="str">
            <v>Office Expense</v>
          </cell>
        </row>
        <row r="378">
          <cell r="B378">
            <v>7520</v>
          </cell>
          <cell r="C378" t="str">
            <v>Office Expense</v>
          </cell>
        </row>
        <row r="379">
          <cell r="B379">
            <v>7520</v>
          </cell>
          <cell r="C379" t="str">
            <v>Office Expense</v>
          </cell>
        </row>
        <row r="380">
          <cell r="B380">
            <v>7520</v>
          </cell>
          <cell r="C380" t="str">
            <v>Office Expense</v>
          </cell>
        </row>
        <row r="381">
          <cell r="B381">
            <v>7520</v>
          </cell>
          <cell r="C381" t="str">
            <v>Office Expense</v>
          </cell>
        </row>
        <row r="382">
          <cell r="B382">
            <v>7520</v>
          </cell>
          <cell r="C382" t="str">
            <v>Office Expense</v>
          </cell>
        </row>
        <row r="383">
          <cell r="B383">
            <v>7520</v>
          </cell>
          <cell r="C383" t="str">
            <v>Office Expense</v>
          </cell>
        </row>
        <row r="384">
          <cell r="B384">
            <v>7520</v>
          </cell>
          <cell r="C384" t="str">
            <v>Office Expense</v>
          </cell>
        </row>
        <row r="385">
          <cell r="B385">
            <v>7520</v>
          </cell>
          <cell r="C385" t="str">
            <v>Office Expense</v>
          </cell>
        </row>
        <row r="386">
          <cell r="B386">
            <v>7530</v>
          </cell>
          <cell r="C386" t="str">
            <v>Equipment Rental/Lease</v>
          </cell>
        </row>
        <row r="387">
          <cell r="B387">
            <v>7530</v>
          </cell>
          <cell r="C387" t="str">
            <v>Equipment Rental/Lease</v>
          </cell>
        </row>
        <row r="388">
          <cell r="B388">
            <v>7530</v>
          </cell>
          <cell r="C388" t="str">
            <v>Equipment Rental/Lease</v>
          </cell>
        </row>
        <row r="389">
          <cell r="B389">
            <v>7535</v>
          </cell>
          <cell r="C389" t="str">
            <v>Office Expense</v>
          </cell>
        </row>
        <row r="390">
          <cell r="B390">
            <v>7535</v>
          </cell>
          <cell r="C390" t="str">
            <v>Office Expense</v>
          </cell>
        </row>
        <row r="391">
          <cell r="B391">
            <v>7540</v>
          </cell>
          <cell r="C391" t="str">
            <v>Telephone/Communications</v>
          </cell>
        </row>
        <row r="392">
          <cell r="B392">
            <v>7540</v>
          </cell>
          <cell r="C392" t="str">
            <v>Telephone/Communications</v>
          </cell>
        </row>
        <row r="393">
          <cell r="B393">
            <v>7540</v>
          </cell>
          <cell r="C393" t="str">
            <v>Telephone/Communications</v>
          </cell>
        </row>
        <row r="394">
          <cell r="B394">
            <v>7540</v>
          </cell>
          <cell r="C394" t="str">
            <v>Telephone/Communications</v>
          </cell>
        </row>
        <row r="395">
          <cell r="B395">
            <v>7540</v>
          </cell>
          <cell r="C395" t="str">
            <v>Telephone/Communications</v>
          </cell>
        </row>
        <row r="396">
          <cell r="B396">
            <v>7550</v>
          </cell>
          <cell r="C396" t="str">
            <v>Legal &amp; Accounting</v>
          </cell>
        </row>
        <row r="397">
          <cell r="B397">
            <v>7550</v>
          </cell>
          <cell r="C397" t="str">
            <v>Legal &amp; Accounting</v>
          </cell>
        </row>
        <row r="398">
          <cell r="B398">
            <v>7550</v>
          </cell>
          <cell r="C398" t="str">
            <v>Legal &amp; Accounting</v>
          </cell>
        </row>
        <row r="399">
          <cell r="B399">
            <v>7555</v>
          </cell>
          <cell r="C399" t="str">
            <v>Legal &amp; Accounting</v>
          </cell>
        </row>
        <row r="400">
          <cell r="B400">
            <v>7555</v>
          </cell>
          <cell r="C400" t="str">
            <v>Legal &amp; Accounting</v>
          </cell>
        </row>
        <row r="401">
          <cell r="B401">
            <v>7560</v>
          </cell>
          <cell r="C401" t="str">
            <v>Printing And Publications</v>
          </cell>
        </row>
        <row r="402">
          <cell r="B402">
            <v>7560</v>
          </cell>
          <cell r="C402" t="str">
            <v>Printing And Publications</v>
          </cell>
        </row>
        <row r="403">
          <cell r="B403">
            <v>7560</v>
          </cell>
          <cell r="C403" t="str">
            <v>Printing And Publications</v>
          </cell>
        </row>
        <row r="404">
          <cell r="B404">
            <v>7560</v>
          </cell>
          <cell r="C404" t="str">
            <v>Printing And Publications</v>
          </cell>
        </row>
        <row r="405">
          <cell r="B405">
            <v>7570</v>
          </cell>
          <cell r="C405" t="str">
            <v>Postage &amp; Delivery</v>
          </cell>
        </row>
        <row r="406">
          <cell r="B406">
            <v>7570</v>
          </cell>
          <cell r="C406" t="str">
            <v>Postage &amp; Delivery</v>
          </cell>
        </row>
        <row r="407">
          <cell r="B407">
            <v>7570</v>
          </cell>
          <cell r="C407" t="str">
            <v>Postage &amp; Delivery</v>
          </cell>
        </row>
        <row r="408">
          <cell r="B408">
            <v>7570</v>
          </cell>
          <cell r="C408" t="str">
            <v>Postage &amp; Delivery</v>
          </cell>
        </row>
        <row r="409">
          <cell r="B409">
            <v>7570</v>
          </cell>
          <cell r="C409" t="str">
            <v>Postage &amp; Delivery</v>
          </cell>
        </row>
        <row r="410">
          <cell r="B410">
            <v>7570</v>
          </cell>
          <cell r="C410" t="str">
            <v>Postage &amp; Delivery</v>
          </cell>
        </row>
        <row r="411">
          <cell r="B411">
            <v>7570</v>
          </cell>
          <cell r="C411" t="str">
            <v>Postage &amp; Delivery</v>
          </cell>
        </row>
        <row r="412">
          <cell r="B412">
            <v>7570</v>
          </cell>
          <cell r="C412" t="str">
            <v>Postage &amp; Delivery</v>
          </cell>
        </row>
        <row r="413">
          <cell r="B413">
            <v>7570</v>
          </cell>
          <cell r="C413" t="str">
            <v>Postage &amp; Delivery</v>
          </cell>
        </row>
        <row r="414">
          <cell r="B414">
            <v>7570</v>
          </cell>
          <cell r="C414" t="str">
            <v>Postage &amp; Delivery</v>
          </cell>
        </row>
        <row r="415">
          <cell r="B415">
            <v>7570</v>
          </cell>
          <cell r="C415" t="str">
            <v>Postage &amp; Delivery</v>
          </cell>
        </row>
        <row r="416">
          <cell r="B416">
            <v>7570</v>
          </cell>
          <cell r="C416" t="str">
            <v>Postage &amp; Delivery</v>
          </cell>
        </row>
        <row r="417">
          <cell r="B417">
            <v>7570</v>
          </cell>
          <cell r="C417" t="str">
            <v>Postage &amp; Delivery</v>
          </cell>
        </row>
        <row r="418">
          <cell r="B418">
            <v>7570</v>
          </cell>
          <cell r="C418" t="str">
            <v>Postage &amp; Delivery</v>
          </cell>
        </row>
        <row r="419">
          <cell r="B419">
            <v>7570</v>
          </cell>
          <cell r="C419" t="str">
            <v>Postage &amp; Delivery</v>
          </cell>
        </row>
        <row r="420">
          <cell r="B420">
            <v>7570</v>
          </cell>
          <cell r="C420" t="str">
            <v>Postage &amp; Delivery</v>
          </cell>
        </row>
        <row r="421">
          <cell r="B421">
            <v>7570</v>
          </cell>
          <cell r="C421" t="str">
            <v>Postage &amp; Delivery</v>
          </cell>
        </row>
        <row r="422">
          <cell r="B422">
            <v>7570</v>
          </cell>
          <cell r="C422" t="str">
            <v>Postage &amp; Delivery</v>
          </cell>
        </row>
        <row r="423">
          <cell r="B423">
            <v>7570</v>
          </cell>
          <cell r="C423" t="str">
            <v>Postage &amp; Delivery</v>
          </cell>
        </row>
        <row r="424">
          <cell r="B424">
            <v>7570</v>
          </cell>
          <cell r="C424" t="str">
            <v>Postage &amp; Delivery</v>
          </cell>
        </row>
        <row r="425">
          <cell r="B425">
            <v>7570</v>
          </cell>
          <cell r="C425" t="str">
            <v>Postage &amp; Delivery</v>
          </cell>
        </row>
        <row r="426">
          <cell r="B426">
            <v>7570</v>
          </cell>
          <cell r="C426" t="str">
            <v>Postage &amp; Delivery</v>
          </cell>
        </row>
        <row r="427">
          <cell r="B427">
            <v>7570</v>
          </cell>
          <cell r="C427" t="str">
            <v>Postage &amp; Delivery</v>
          </cell>
        </row>
        <row r="428">
          <cell r="B428">
            <v>7570</v>
          </cell>
          <cell r="C428" t="str">
            <v>Postage &amp; Delivery</v>
          </cell>
        </row>
        <row r="429">
          <cell r="B429">
            <v>7570</v>
          </cell>
          <cell r="C429" t="str">
            <v>Postage &amp; Delivery</v>
          </cell>
        </row>
        <row r="430">
          <cell r="B430">
            <v>7570</v>
          </cell>
          <cell r="C430" t="str">
            <v>Postage &amp; Delivery</v>
          </cell>
        </row>
        <row r="431">
          <cell r="B431">
            <v>7570</v>
          </cell>
          <cell r="C431" t="str">
            <v>Postage &amp; Delivery</v>
          </cell>
        </row>
        <row r="432">
          <cell r="B432">
            <v>7570</v>
          </cell>
          <cell r="C432" t="str">
            <v>Postage &amp; Delivery</v>
          </cell>
        </row>
        <row r="433">
          <cell r="B433">
            <v>7570</v>
          </cell>
          <cell r="C433" t="str">
            <v>Postage &amp; Delivery</v>
          </cell>
        </row>
        <row r="434">
          <cell r="B434">
            <v>7570</v>
          </cell>
          <cell r="C434" t="str">
            <v>Postage &amp; Delivery</v>
          </cell>
        </row>
        <row r="435">
          <cell r="B435">
            <v>7570</v>
          </cell>
          <cell r="C435" t="str">
            <v>Postage &amp; Delivery</v>
          </cell>
        </row>
        <row r="436">
          <cell r="B436">
            <v>7570</v>
          </cell>
          <cell r="C436" t="str">
            <v>Postage &amp; Delivery</v>
          </cell>
        </row>
        <row r="437">
          <cell r="B437">
            <v>7580</v>
          </cell>
          <cell r="C437" t="str">
            <v>Recruitment &amp; Marketing</v>
          </cell>
        </row>
        <row r="438">
          <cell r="B438">
            <v>7580</v>
          </cell>
          <cell r="C438" t="str">
            <v>Recruitment &amp; Marketing</v>
          </cell>
        </row>
        <row r="439">
          <cell r="B439">
            <v>7580</v>
          </cell>
          <cell r="C439" t="str">
            <v>Recruitment &amp; Marketing</v>
          </cell>
        </row>
        <row r="440">
          <cell r="B440">
            <v>7580</v>
          </cell>
          <cell r="C440" t="str">
            <v>Recruitment &amp; Marketing</v>
          </cell>
        </row>
        <row r="441">
          <cell r="B441">
            <v>7580</v>
          </cell>
          <cell r="C441" t="str">
            <v>Recruitment &amp; Marketing</v>
          </cell>
        </row>
        <row r="442">
          <cell r="B442">
            <v>7580</v>
          </cell>
          <cell r="C442" t="str">
            <v>Recruitment &amp; Marketing</v>
          </cell>
        </row>
        <row r="443">
          <cell r="B443">
            <v>7580</v>
          </cell>
          <cell r="C443" t="str">
            <v>Recruitment &amp; Marketing</v>
          </cell>
        </row>
        <row r="444">
          <cell r="B444">
            <v>7580</v>
          </cell>
          <cell r="C444" t="str">
            <v>Recruitment &amp; Marketing</v>
          </cell>
        </row>
        <row r="445">
          <cell r="B445">
            <v>7580</v>
          </cell>
          <cell r="C445" t="str">
            <v>Recruitment &amp; Marketing</v>
          </cell>
        </row>
        <row r="446">
          <cell r="B446">
            <v>7580</v>
          </cell>
          <cell r="C446" t="str">
            <v>Recruitment &amp; Marketing</v>
          </cell>
        </row>
        <row r="447">
          <cell r="B447">
            <v>7580</v>
          </cell>
          <cell r="C447" t="str">
            <v>Recruitment &amp; Marketing</v>
          </cell>
        </row>
        <row r="448">
          <cell r="B448">
            <v>7580</v>
          </cell>
          <cell r="C448" t="str">
            <v>Recruitment &amp; Marketing</v>
          </cell>
        </row>
        <row r="449">
          <cell r="B449">
            <v>7580</v>
          </cell>
          <cell r="C449" t="str">
            <v>Recruitment &amp; Marketing</v>
          </cell>
        </row>
        <row r="450">
          <cell r="B450">
            <v>7580</v>
          </cell>
          <cell r="C450" t="str">
            <v>Recruitment &amp; Marketing</v>
          </cell>
        </row>
        <row r="451">
          <cell r="B451">
            <v>7580</v>
          </cell>
          <cell r="C451" t="str">
            <v>Recruitment &amp; Marketing</v>
          </cell>
        </row>
        <row r="452">
          <cell r="B452">
            <v>7580</v>
          </cell>
          <cell r="C452" t="str">
            <v>Recruitment &amp; Marketing</v>
          </cell>
        </row>
        <row r="453">
          <cell r="B453">
            <v>7580</v>
          </cell>
          <cell r="C453" t="str">
            <v>Recruitment &amp; Marketing</v>
          </cell>
        </row>
        <row r="454">
          <cell r="B454">
            <v>7580</v>
          </cell>
          <cell r="C454" t="str">
            <v>Recruitment &amp; Marketing</v>
          </cell>
        </row>
        <row r="455">
          <cell r="B455">
            <v>7590</v>
          </cell>
          <cell r="C455" t="str">
            <v>Miscellaneous</v>
          </cell>
        </row>
        <row r="456">
          <cell r="B456">
            <v>7590</v>
          </cell>
          <cell r="C456" t="str">
            <v>Miscellaneous</v>
          </cell>
        </row>
        <row r="457">
          <cell r="B457">
            <v>8110</v>
          </cell>
          <cell r="C457" t="str">
            <v>Insurance</v>
          </cell>
        </row>
        <row r="458">
          <cell r="B458">
            <v>8110</v>
          </cell>
          <cell r="C458" t="str">
            <v>Insurance</v>
          </cell>
        </row>
        <row r="459">
          <cell r="B459">
            <v>8120</v>
          </cell>
          <cell r="C459" t="str">
            <v>Insurance</v>
          </cell>
        </row>
        <row r="460">
          <cell r="B460">
            <v>8130</v>
          </cell>
          <cell r="C460" t="str">
            <v>Insurance</v>
          </cell>
        </row>
        <row r="461">
          <cell r="B461">
            <v>8150</v>
          </cell>
          <cell r="C461" t="str">
            <v>Insurance</v>
          </cell>
        </row>
        <row r="462">
          <cell r="B462">
            <v>8150</v>
          </cell>
          <cell r="C462" t="str">
            <v>Insurance</v>
          </cell>
        </row>
        <row r="463">
          <cell r="B463">
            <v>8160</v>
          </cell>
          <cell r="C463" t="str">
            <v>Insurance</v>
          </cell>
        </row>
        <row r="464">
          <cell r="B464">
            <v>8170</v>
          </cell>
          <cell r="C464" t="str">
            <v>Insurance</v>
          </cell>
        </row>
        <row r="465">
          <cell r="B465">
            <v>8200</v>
          </cell>
          <cell r="C465" t="str">
            <v>Miscellaneous 2</v>
          </cell>
        </row>
        <row r="466">
          <cell r="B466">
            <v>8200</v>
          </cell>
          <cell r="C466" t="str">
            <v>Miscellaneous 2</v>
          </cell>
        </row>
        <row r="467">
          <cell r="B467">
            <v>8200</v>
          </cell>
          <cell r="C467" t="str">
            <v>Miscellaneous 2</v>
          </cell>
        </row>
        <row r="468">
          <cell r="B468">
            <v>8200</v>
          </cell>
          <cell r="C468" t="str">
            <v>Miscellaneous 2</v>
          </cell>
        </row>
        <row r="469">
          <cell r="B469">
            <v>8200</v>
          </cell>
          <cell r="C469" t="str">
            <v>Miscellaneous 2</v>
          </cell>
        </row>
        <row r="470">
          <cell r="B470">
            <v>8200</v>
          </cell>
          <cell r="C470" t="str">
            <v>Miscellaneous 2</v>
          </cell>
        </row>
        <row r="471">
          <cell r="B471">
            <v>8230</v>
          </cell>
          <cell r="C471" t="str">
            <v>Miscellaneous 2</v>
          </cell>
        </row>
        <row r="472">
          <cell r="B472">
            <v>8230</v>
          </cell>
          <cell r="C472" t="str">
            <v>Miscellaneous 2</v>
          </cell>
        </row>
        <row r="473">
          <cell r="B473">
            <v>8230</v>
          </cell>
          <cell r="C473" t="str">
            <v>Miscellaneous 2</v>
          </cell>
        </row>
        <row r="474">
          <cell r="B474">
            <v>8230</v>
          </cell>
          <cell r="C474" t="str">
            <v>Miscellaneous 2</v>
          </cell>
        </row>
        <row r="475">
          <cell r="B475">
            <v>8230</v>
          </cell>
          <cell r="C475" t="str">
            <v>Miscellaneous 2</v>
          </cell>
        </row>
        <row r="476">
          <cell r="B476">
            <v>8230</v>
          </cell>
          <cell r="C476" t="str">
            <v>Miscellaneous 2</v>
          </cell>
        </row>
        <row r="477">
          <cell r="B477">
            <v>8230</v>
          </cell>
          <cell r="C477" t="str">
            <v>Miscellaneous 2</v>
          </cell>
        </row>
        <row r="478">
          <cell r="B478">
            <v>8230</v>
          </cell>
          <cell r="C478" t="str">
            <v>Miscellaneous 2</v>
          </cell>
        </row>
        <row r="479">
          <cell r="B479">
            <v>8230</v>
          </cell>
          <cell r="C479" t="str">
            <v>Miscellaneous 2</v>
          </cell>
        </row>
        <row r="480">
          <cell r="B480">
            <v>8230</v>
          </cell>
          <cell r="C480" t="str">
            <v>Miscellaneous 2</v>
          </cell>
        </row>
        <row r="481">
          <cell r="B481">
            <v>8230</v>
          </cell>
          <cell r="C481" t="str">
            <v>Miscellaneous 2</v>
          </cell>
        </row>
        <row r="482">
          <cell r="B482">
            <v>8230</v>
          </cell>
          <cell r="C482" t="str">
            <v>Miscellaneous 2</v>
          </cell>
        </row>
        <row r="483">
          <cell r="B483">
            <v>8230</v>
          </cell>
          <cell r="C483" t="str">
            <v>Miscellaneous 2</v>
          </cell>
        </row>
        <row r="484">
          <cell r="B484">
            <v>8240</v>
          </cell>
          <cell r="C484" t="str">
            <v>Miscellaneous 2</v>
          </cell>
        </row>
        <row r="485">
          <cell r="B485">
            <v>8240</v>
          </cell>
          <cell r="C485" t="str">
            <v>Miscellaneous 2</v>
          </cell>
        </row>
        <row r="486">
          <cell r="B486">
            <v>8300</v>
          </cell>
          <cell r="C486" t="str">
            <v>Travel</v>
          </cell>
        </row>
        <row r="487">
          <cell r="B487">
            <v>8300</v>
          </cell>
          <cell r="C487" t="str">
            <v>Travel</v>
          </cell>
        </row>
        <row r="488">
          <cell r="B488">
            <v>8310</v>
          </cell>
          <cell r="C488" t="str">
            <v>Travel</v>
          </cell>
        </row>
        <row r="489">
          <cell r="B489">
            <v>8310</v>
          </cell>
          <cell r="C489" t="str">
            <v>Travel</v>
          </cell>
        </row>
        <row r="490">
          <cell r="B490">
            <v>8310</v>
          </cell>
          <cell r="C490" t="str">
            <v>Travel</v>
          </cell>
        </row>
        <row r="491">
          <cell r="B491">
            <v>8310</v>
          </cell>
          <cell r="C491" t="str">
            <v>Travel</v>
          </cell>
        </row>
        <row r="492">
          <cell r="B492">
            <v>8310</v>
          </cell>
          <cell r="C492" t="str">
            <v>Travel</v>
          </cell>
        </row>
        <row r="493">
          <cell r="B493">
            <v>8400</v>
          </cell>
          <cell r="C493" t="str">
            <v>Nutritional Supplies/Food Service</v>
          </cell>
        </row>
        <row r="494">
          <cell r="B494">
            <v>8400</v>
          </cell>
          <cell r="C494" t="str">
            <v>Nutritional Supplies/Food Service</v>
          </cell>
        </row>
        <row r="495">
          <cell r="B495">
            <v>8400</v>
          </cell>
          <cell r="C495" t="str">
            <v>Nutritional Supplies/Food Service</v>
          </cell>
        </row>
        <row r="496">
          <cell r="B496">
            <v>8400</v>
          </cell>
          <cell r="C496" t="str">
            <v>Nutritional Supplies/Food Service</v>
          </cell>
        </row>
        <row r="497">
          <cell r="B497">
            <v>8400</v>
          </cell>
          <cell r="C497" t="str">
            <v>Nutritional Supplies/Food Service</v>
          </cell>
        </row>
        <row r="498">
          <cell r="B498">
            <v>8400</v>
          </cell>
          <cell r="C498" t="str">
            <v>Nutritional Supplies/Food Service</v>
          </cell>
        </row>
        <row r="499">
          <cell r="B499">
            <v>8530</v>
          </cell>
          <cell r="C499" t="str">
            <v>After School Expense</v>
          </cell>
        </row>
        <row r="500">
          <cell r="B500">
            <v>8536</v>
          </cell>
          <cell r="C500" t="str">
            <v>After School Expense</v>
          </cell>
        </row>
        <row r="501">
          <cell r="B501">
            <v>8550</v>
          </cell>
          <cell r="C501" t="str">
            <v>Training And Professional Development 2</v>
          </cell>
        </row>
        <row r="502">
          <cell r="B502">
            <v>8550</v>
          </cell>
          <cell r="C502" t="str">
            <v>Training And Professional Development 2</v>
          </cell>
        </row>
        <row r="503">
          <cell r="B503">
            <v>8550</v>
          </cell>
          <cell r="C503" t="str">
            <v>Training And Professional Development 2</v>
          </cell>
        </row>
        <row r="504">
          <cell r="B504">
            <v>8550</v>
          </cell>
          <cell r="C504" t="str">
            <v>Training And Professional Development 2</v>
          </cell>
        </row>
        <row r="505">
          <cell r="B505">
            <v>8550</v>
          </cell>
          <cell r="C505" t="str">
            <v>Training And Professional Development 2</v>
          </cell>
        </row>
        <row r="506">
          <cell r="B506">
            <v>8550</v>
          </cell>
          <cell r="C506" t="str">
            <v>Training And Professional Development 2</v>
          </cell>
        </row>
        <row r="507">
          <cell r="B507">
            <v>8552</v>
          </cell>
          <cell r="C507" t="str">
            <v>Training And Professional Development 2</v>
          </cell>
        </row>
        <row r="508">
          <cell r="B508">
            <v>8552</v>
          </cell>
          <cell r="C508" t="str">
            <v>Training And Professional Development 2</v>
          </cell>
        </row>
        <row r="509">
          <cell r="B509">
            <v>8553</v>
          </cell>
          <cell r="C509" t="str">
            <v>Training And Professional Development 2</v>
          </cell>
        </row>
        <row r="510">
          <cell r="B510">
            <v>8554</v>
          </cell>
          <cell r="C510" t="str">
            <v>Training And Professional Development 2</v>
          </cell>
        </row>
        <row r="511">
          <cell r="B511">
            <v>8554</v>
          </cell>
          <cell r="C511" t="str">
            <v>Training And Professional Development 2</v>
          </cell>
        </row>
        <row r="512">
          <cell r="B512">
            <v>8556</v>
          </cell>
          <cell r="C512" t="str">
            <v>Training And Professional Development 2</v>
          </cell>
        </row>
        <row r="513">
          <cell r="B513">
            <v>8556</v>
          </cell>
          <cell r="C513" t="str">
            <v>Training And Professional Development 2</v>
          </cell>
        </row>
        <row r="514">
          <cell r="B514">
            <v>8556</v>
          </cell>
          <cell r="C514" t="str">
            <v>Training And Professional Development 2</v>
          </cell>
        </row>
        <row r="515">
          <cell r="B515">
            <v>8556</v>
          </cell>
          <cell r="C515" t="str">
            <v>Training And Professional Development 2</v>
          </cell>
        </row>
        <row r="516">
          <cell r="B516">
            <v>8556</v>
          </cell>
          <cell r="C516" t="str">
            <v>Training And Professional Development 2</v>
          </cell>
        </row>
        <row r="517">
          <cell r="B517">
            <v>8556</v>
          </cell>
          <cell r="C517" t="str">
            <v>Training And Professional Development 2</v>
          </cell>
        </row>
        <row r="518">
          <cell r="B518">
            <v>8556</v>
          </cell>
          <cell r="C518" t="str">
            <v>Training And Professional Development 2</v>
          </cell>
        </row>
        <row r="519">
          <cell r="B519">
            <v>8600</v>
          </cell>
          <cell r="C519" t="str">
            <v>Management Fees</v>
          </cell>
        </row>
        <row r="520">
          <cell r="B520">
            <v>8601</v>
          </cell>
          <cell r="C520" t="str">
            <v>Management Fees</v>
          </cell>
        </row>
        <row r="521">
          <cell r="B521">
            <v>8700</v>
          </cell>
          <cell r="C521" t="str">
            <v>Miscellaneous</v>
          </cell>
        </row>
        <row r="522">
          <cell r="B522">
            <v>8750</v>
          </cell>
          <cell r="C522" t="str">
            <v>Miscellaneous</v>
          </cell>
        </row>
        <row r="523">
          <cell r="B523">
            <v>8800</v>
          </cell>
          <cell r="C523" t="str">
            <v>Miscellaneous</v>
          </cell>
        </row>
        <row r="524">
          <cell r="B524">
            <v>8800</v>
          </cell>
          <cell r="C524" t="str">
            <v>Miscellaneous</v>
          </cell>
        </row>
        <row r="525">
          <cell r="B525">
            <v>8800</v>
          </cell>
          <cell r="C525" t="str">
            <v>Miscellaneous</v>
          </cell>
        </row>
        <row r="526">
          <cell r="B526">
            <v>8800</v>
          </cell>
          <cell r="C526" t="str">
            <v>Miscellaneous</v>
          </cell>
        </row>
        <row r="527">
          <cell r="B527">
            <v>8800</v>
          </cell>
          <cell r="C527" t="str">
            <v>Miscellaneous</v>
          </cell>
        </row>
        <row r="528">
          <cell r="B528">
            <v>8810</v>
          </cell>
          <cell r="C528" t="str">
            <v>Consulting Fees</v>
          </cell>
        </row>
        <row r="529">
          <cell r="B529">
            <v>8810</v>
          </cell>
          <cell r="C529" t="str">
            <v>Interest</v>
          </cell>
        </row>
        <row r="530">
          <cell r="B530">
            <v>8810</v>
          </cell>
          <cell r="C530" t="str">
            <v>Interest</v>
          </cell>
        </row>
        <row r="531">
          <cell r="B531">
            <v>8810</v>
          </cell>
          <cell r="C531" t="str">
            <v>Interest</v>
          </cell>
        </row>
        <row r="532">
          <cell r="B532">
            <v>8810</v>
          </cell>
          <cell r="C532" t="str">
            <v>Interest</v>
          </cell>
        </row>
        <row r="533">
          <cell r="B533">
            <v>9500</v>
          </cell>
          <cell r="C533" t="str">
            <v>Miscellaneous</v>
          </cell>
        </row>
        <row r="534">
          <cell r="B534">
            <v>9510</v>
          </cell>
          <cell r="C534" t="str">
            <v>Miscellaneous</v>
          </cell>
        </row>
        <row r="535">
          <cell r="B535">
            <v>9550</v>
          </cell>
          <cell r="C535" t="str">
            <v>Amortizatioon Expenses</v>
          </cell>
        </row>
        <row r="536">
          <cell r="B536">
            <v>9600</v>
          </cell>
          <cell r="C536" t="str">
            <v>Depreciation Expenses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- Cap City LEA"/>
      <sheetName val="Lower School"/>
      <sheetName val="Upper School"/>
    </sheetNames>
    <sheetDataSet>
      <sheetData sheetId="0"/>
      <sheetData sheetId="1">
        <row r="4">
          <cell r="B4">
            <v>500</v>
          </cell>
          <cell r="C4">
            <v>900</v>
          </cell>
          <cell r="D4">
            <v>900</v>
          </cell>
        </row>
        <row r="19">
          <cell r="B19">
            <v>95306.58</v>
          </cell>
          <cell r="C19">
            <v>98165.777400000006</v>
          </cell>
          <cell r="D19">
            <v>101110.75072200001</v>
          </cell>
        </row>
        <row r="20">
          <cell r="B20">
            <v>189800</v>
          </cell>
          <cell r="C20">
            <v>174526</v>
          </cell>
          <cell r="D20">
            <v>177977</v>
          </cell>
        </row>
        <row r="22">
          <cell r="B22">
            <v>7874.7572815533977</v>
          </cell>
          <cell r="C22">
            <v>8111</v>
          </cell>
          <cell r="D22">
            <v>8354.33</v>
          </cell>
        </row>
        <row r="23">
          <cell r="B23">
            <v>203334</v>
          </cell>
          <cell r="C23">
            <v>203069.38999999998</v>
          </cell>
          <cell r="D23">
            <v>199532.40999999997</v>
          </cell>
        </row>
        <row r="25">
          <cell r="B25">
            <v>211521</v>
          </cell>
          <cell r="C25">
            <v>184815.18</v>
          </cell>
          <cell r="D25">
            <v>176842.48</v>
          </cell>
        </row>
        <row r="26">
          <cell r="B26">
            <v>156596.23000000001</v>
          </cell>
          <cell r="C26">
            <v>208301.78</v>
          </cell>
          <cell r="D26">
            <v>166274.48000000001</v>
          </cell>
        </row>
        <row r="27">
          <cell r="B27">
            <v>9585</v>
          </cell>
          <cell r="C27">
            <v>9585</v>
          </cell>
          <cell r="D27">
            <v>9585</v>
          </cell>
        </row>
        <row r="35">
          <cell r="B35">
            <v>244</v>
          </cell>
          <cell r="C35">
            <v>244</v>
          </cell>
          <cell r="D35">
            <v>244</v>
          </cell>
        </row>
        <row r="37">
          <cell r="B37">
            <v>31352</v>
          </cell>
          <cell r="C37">
            <v>31352</v>
          </cell>
          <cell r="D37">
            <v>31352</v>
          </cell>
        </row>
      </sheetData>
      <sheetData sheetId="2">
        <row r="2">
          <cell r="B2">
            <v>64473.16</v>
          </cell>
          <cell r="C2">
            <v>146173.54835200001</v>
          </cell>
          <cell r="D2">
            <v>150558.75480256003</v>
          </cell>
        </row>
        <row r="3">
          <cell r="B3">
            <v>63012</v>
          </cell>
          <cell r="C3">
            <v>70219</v>
          </cell>
          <cell r="D3">
            <v>85175</v>
          </cell>
        </row>
        <row r="4">
          <cell r="B4">
            <v>287875</v>
          </cell>
          <cell r="C4">
            <v>677589</v>
          </cell>
          <cell r="D4">
            <v>677589</v>
          </cell>
        </row>
        <row r="6">
          <cell r="B6">
            <v>38950.29</v>
          </cell>
          <cell r="C6">
            <v>88308.097487999999</v>
          </cell>
          <cell r="D6">
            <v>88308.097487999999</v>
          </cell>
        </row>
        <row r="7">
          <cell r="C7">
            <v>11380.901162790698</v>
          </cell>
          <cell r="D7">
            <v>14636.719186046514</v>
          </cell>
        </row>
        <row r="8">
          <cell r="B8">
            <v>8904</v>
          </cell>
          <cell r="C8">
            <v>16474</v>
          </cell>
          <cell r="D8">
            <v>20188</v>
          </cell>
        </row>
        <row r="13">
          <cell r="C13">
            <v>215901</v>
          </cell>
        </row>
        <row r="28">
          <cell r="B28">
            <v>65126</v>
          </cell>
          <cell r="C28">
            <v>53000</v>
          </cell>
        </row>
        <row r="35">
          <cell r="B35">
            <v>128</v>
          </cell>
          <cell r="C35">
            <v>181</v>
          </cell>
          <cell r="D35">
            <v>226</v>
          </cell>
        </row>
        <row r="37">
          <cell r="B37">
            <v>10000</v>
          </cell>
          <cell r="C37">
            <v>22672</v>
          </cell>
          <cell r="D37">
            <v>22672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 = LEA"/>
      <sheetName val="EMC"/>
      <sheetName val="EEC"/>
      <sheetName val="BEC"/>
    </sheetNames>
    <sheetDataSet>
      <sheetData sheetId="0"/>
      <sheetData sheetId="1">
        <row r="19">
          <cell r="B19">
            <v>134641</v>
          </cell>
          <cell r="C19">
            <v>160000</v>
          </cell>
          <cell r="D19">
            <v>164800</v>
          </cell>
        </row>
        <row r="20">
          <cell r="B20">
            <v>255419</v>
          </cell>
          <cell r="C20">
            <v>188516</v>
          </cell>
          <cell r="D20">
            <v>194171.48</v>
          </cell>
        </row>
        <row r="22">
          <cell r="B22">
            <v>7389</v>
          </cell>
          <cell r="C22">
            <v>7611</v>
          </cell>
          <cell r="D22">
            <v>7839.33</v>
          </cell>
        </row>
        <row r="23">
          <cell r="B23">
            <v>182844</v>
          </cell>
          <cell r="C23">
            <v>163516</v>
          </cell>
          <cell r="D23">
            <v>156138</v>
          </cell>
        </row>
        <row r="25">
          <cell r="B25">
            <v>77649.759999999995</v>
          </cell>
          <cell r="C25">
            <v>71086.562500000015</v>
          </cell>
          <cell r="D25">
            <v>97569.166666666672</v>
          </cell>
        </row>
        <row r="26">
          <cell r="B26">
            <v>125833.33</v>
          </cell>
          <cell r="C26">
            <v>135416.66666666666</v>
          </cell>
          <cell r="D26">
            <v>140416.67000000001</v>
          </cell>
        </row>
        <row r="27">
          <cell r="B27">
            <v>79339.69</v>
          </cell>
          <cell r="C27">
            <v>76022.8</v>
          </cell>
          <cell r="D27">
            <v>76022.8</v>
          </cell>
        </row>
        <row r="35">
          <cell r="B35">
            <v>255</v>
          </cell>
          <cell r="C35">
            <v>250</v>
          </cell>
          <cell r="D35">
            <v>266</v>
          </cell>
        </row>
        <row r="37">
          <cell r="B37">
            <v>34000</v>
          </cell>
          <cell r="C37">
            <v>34000</v>
          </cell>
          <cell r="D37">
            <v>34000</v>
          </cell>
        </row>
      </sheetData>
      <sheetData sheetId="2">
        <row r="4">
          <cell r="B4">
            <v>2901</v>
          </cell>
          <cell r="C4">
            <v>2988.03</v>
          </cell>
          <cell r="D4">
            <v>3077.6709000000001</v>
          </cell>
        </row>
        <row r="19">
          <cell r="B19">
            <v>95914</v>
          </cell>
          <cell r="C19">
            <v>87000</v>
          </cell>
          <cell r="D19">
            <v>89610</v>
          </cell>
        </row>
        <row r="20">
          <cell r="B20">
            <v>241265</v>
          </cell>
          <cell r="C20">
            <v>189176</v>
          </cell>
          <cell r="D20">
            <v>194851.28</v>
          </cell>
        </row>
        <row r="22">
          <cell r="B22">
            <v>10844</v>
          </cell>
          <cell r="C22">
            <v>11169.32</v>
          </cell>
          <cell r="D22">
            <v>11504.399600000001</v>
          </cell>
        </row>
        <row r="23">
          <cell r="B23">
            <v>344751</v>
          </cell>
          <cell r="C23">
            <v>349055</v>
          </cell>
          <cell r="D23">
            <v>348851</v>
          </cell>
        </row>
        <row r="25">
          <cell r="B25">
            <v>387228.49</v>
          </cell>
          <cell r="C25">
            <v>329978</v>
          </cell>
          <cell r="D25">
            <v>362473</v>
          </cell>
        </row>
        <row r="26">
          <cell r="B26">
            <v>188829.02</v>
          </cell>
          <cell r="C26">
            <v>267485.08</v>
          </cell>
          <cell r="D26">
            <v>279556.49</v>
          </cell>
        </row>
        <row r="27">
          <cell r="B27">
            <v>139062.06</v>
          </cell>
          <cell r="C27">
            <v>161410.35999999999</v>
          </cell>
          <cell r="D27">
            <v>161410.35999999999</v>
          </cell>
        </row>
        <row r="35">
          <cell r="B35">
            <v>376</v>
          </cell>
          <cell r="C35">
            <v>396</v>
          </cell>
          <cell r="D35">
            <v>394</v>
          </cell>
        </row>
        <row r="37">
          <cell r="B37">
            <v>47354</v>
          </cell>
          <cell r="C37">
            <v>47354</v>
          </cell>
          <cell r="D37">
            <v>47354</v>
          </cell>
        </row>
      </sheetData>
      <sheetData sheetId="3">
        <row r="3">
          <cell r="B3">
            <v>32</v>
          </cell>
        </row>
        <row r="4">
          <cell r="B4">
            <v>249497</v>
          </cell>
          <cell r="C4">
            <v>478300</v>
          </cell>
          <cell r="D4">
            <v>645120</v>
          </cell>
        </row>
        <row r="8">
          <cell r="B8">
            <v>2141</v>
          </cell>
          <cell r="C8">
            <v>6798</v>
          </cell>
          <cell r="D8">
            <v>9350</v>
          </cell>
        </row>
        <row r="35">
          <cell r="B35">
            <v>107</v>
          </cell>
          <cell r="C35">
            <v>204</v>
          </cell>
          <cell r="D35">
            <v>256</v>
          </cell>
        </row>
        <row r="37">
          <cell r="B37">
            <v>35000</v>
          </cell>
          <cell r="C37">
            <v>35000</v>
          </cell>
          <cell r="D37">
            <v>35000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 St"/>
      <sheetName val="NJ Ave"/>
      <sheetName val="consolidated"/>
      <sheetName val="Sheet2"/>
      <sheetName val="Sheet3"/>
    </sheetNames>
    <sheetDataSet>
      <sheetData sheetId="0">
        <row r="3">
          <cell r="B3">
            <v>40634</v>
          </cell>
          <cell r="C3">
            <v>42254</v>
          </cell>
          <cell r="D3">
            <v>49234</v>
          </cell>
        </row>
        <row r="4">
          <cell r="B4">
            <v>804953</v>
          </cell>
          <cell r="C4">
            <v>823785</v>
          </cell>
          <cell r="D4">
            <v>971387</v>
          </cell>
        </row>
        <row r="5">
          <cell r="B5">
            <v>316102</v>
          </cell>
          <cell r="C5">
            <v>328977</v>
          </cell>
          <cell r="D5">
            <v>383322</v>
          </cell>
        </row>
        <row r="6">
          <cell r="B6">
            <v>229380</v>
          </cell>
          <cell r="C6">
            <v>238225</v>
          </cell>
          <cell r="D6">
            <v>277578</v>
          </cell>
        </row>
        <row r="7">
          <cell r="B7">
            <v>28596</v>
          </cell>
          <cell r="C7">
            <v>29736</v>
          </cell>
          <cell r="D7">
            <v>34648</v>
          </cell>
        </row>
        <row r="13">
          <cell r="C13">
            <v>50000</v>
          </cell>
          <cell r="D13">
            <v>75000</v>
          </cell>
        </row>
      </sheetData>
      <sheetData sheetId="1">
        <row r="2">
          <cell r="C2">
            <v>18000</v>
          </cell>
          <cell r="D2">
            <v>24000</v>
          </cell>
        </row>
        <row r="3">
          <cell r="C3">
            <v>12000</v>
          </cell>
          <cell r="D3">
            <v>15500</v>
          </cell>
        </row>
        <row r="4">
          <cell r="C4">
            <v>148740</v>
          </cell>
          <cell r="D4">
            <v>153948</v>
          </cell>
        </row>
        <row r="6">
          <cell r="C6">
            <v>160991</v>
          </cell>
          <cell r="D6">
            <v>169041</v>
          </cell>
        </row>
        <row r="7">
          <cell r="C7">
            <v>4997</v>
          </cell>
          <cell r="D7">
            <v>5500</v>
          </cell>
        </row>
        <row r="13">
          <cell r="C13">
            <v>25000</v>
          </cell>
          <cell r="D13">
            <v>150000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haw"/>
      <sheetName val="Evans"/>
      <sheetName val="Middle"/>
    </sheetNames>
    <sheetDataSet>
      <sheetData sheetId="0"/>
      <sheetData sheetId="1">
        <row r="19">
          <cell r="B19">
            <v>74558.91</v>
          </cell>
          <cell r="C19">
            <v>62040</v>
          </cell>
          <cell r="D19">
            <v>65000</v>
          </cell>
        </row>
        <row r="20">
          <cell r="B20">
            <v>161378.1</v>
          </cell>
          <cell r="C20">
            <v>121115</v>
          </cell>
          <cell r="D20">
            <v>125000</v>
          </cell>
        </row>
        <row r="22">
          <cell r="B22">
            <v>1864</v>
          </cell>
          <cell r="C22">
            <v>1958</v>
          </cell>
          <cell r="D22">
            <v>2000</v>
          </cell>
        </row>
        <row r="23">
          <cell r="B23">
            <v>89820</v>
          </cell>
          <cell r="C23">
            <v>94275</v>
          </cell>
          <cell r="D23">
            <v>95250</v>
          </cell>
        </row>
        <row r="25">
          <cell r="B25">
            <v>74001.959999999992</v>
          </cell>
          <cell r="C25">
            <v>88632</v>
          </cell>
          <cell r="D25">
            <v>88632</v>
          </cell>
        </row>
        <row r="26">
          <cell r="B26">
            <v>42637</v>
          </cell>
          <cell r="C26">
            <v>61565</v>
          </cell>
          <cell r="D26">
            <v>87556</v>
          </cell>
        </row>
        <row r="28">
          <cell r="B28">
            <v>6936</v>
          </cell>
          <cell r="C28">
            <v>0</v>
          </cell>
          <cell r="D28">
            <v>50000</v>
          </cell>
        </row>
        <row r="35">
          <cell r="B35">
            <v>116</v>
          </cell>
          <cell r="C35">
            <v>138</v>
          </cell>
          <cell r="D35">
            <v>125</v>
          </cell>
        </row>
        <row r="43">
          <cell r="B43">
            <v>21000</v>
          </cell>
          <cell r="C43">
            <v>21000</v>
          </cell>
          <cell r="D43">
            <v>21000</v>
          </cell>
        </row>
      </sheetData>
      <sheetData sheetId="2">
        <row r="2">
          <cell r="B2">
            <v>1939.78</v>
          </cell>
        </row>
        <row r="3">
          <cell r="B3">
            <v>160826.77000000002</v>
          </cell>
          <cell r="C3">
            <v>153400</v>
          </cell>
          <cell r="D3">
            <v>158002</v>
          </cell>
        </row>
        <row r="4">
          <cell r="B4">
            <v>92500</v>
          </cell>
          <cell r="C4">
            <v>100000</v>
          </cell>
          <cell r="D4">
            <v>105000</v>
          </cell>
        </row>
        <row r="7">
          <cell r="B7">
            <v>5654</v>
          </cell>
          <cell r="C7">
            <v>5865</v>
          </cell>
          <cell r="D7">
            <v>6040</v>
          </cell>
        </row>
        <row r="8">
          <cell r="B8">
            <v>11858</v>
          </cell>
          <cell r="C8">
            <v>15628.5</v>
          </cell>
          <cell r="D8">
            <v>15628.5</v>
          </cell>
        </row>
        <row r="13">
          <cell r="B13">
            <v>37053</v>
          </cell>
          <cell r="C13">
            <v>0</v>
          </cell>
          <cell r="D13">
            <v>100000</v>
          </cell>
        </row>
        <row r="35">
          <cell r="B35">
            <v>185</v>
          </cell>
          <cell r="C35">
            <v>214</v>
          </cell>
          <cell r="D35">
            <v>210</v>
          </cell>
        </row>
        <row r="43">
          <cell r="B43">
            <v>62900</v>
          </cell>
          <cell r="C43">
            <v>62900</v>
          </cell>
          <cell r="D43">
            <v>62900</v>
          </cell>
        </row>
      </sheetData>
      <sheetData sheetId="3">
        <row r="2">
          <cell r="B2">
            <v>337.46</v>
          </cell>
        </row>
        <row r="3">
          <cell r="B3">
            <v>123096.55</v>
          </cell>
          <cell r="C3">
            <v>153400</v>
          </cell>
          <cell r="D3">
            <v>158002</v>
          </cell>
        </row>
        <row r="4">
          <cell r="B4">
            <v>98500</v>
          </cell>
          <cell r="C4">
            <v>100000</v>
          </cell>
          <cell r="D4">
            <v>102500</v>
          </cell>
        </row>
        <row r="6">
          <cell r="B6">
            <v>5654</v>
          </cell>
          <cell r="C6">
            <v>5865</v>
          </cell>
          <cell r="D6">
            <v>6040</v>
          </cell>
        </row>
        <row r="8">
          <cell r="B8">
            <v>11858</v>
          </cell>
          <cell r="C8">
            <v>15628.5</v>
          </cell>
          <cell r="D8">
            <v>15628.5</v>
          </cell>
        </row>
        <row r="13">
          <cell r="B13">
            <v>104945</v>
          </cell>
          <cell r="C13">
            <v>0</v>
          </cell>
          <cell r="D13">
            <v>75000</v>
          </cell>
        </row>
        <row r="35">
          <cell r="B35">
            <v>197</v>
          </cell>
          <cell r="C35">
            <v>203</v>
          </cell>
          <cell r="D35">
            <v>200</v>
          </cell>
        </row>
        <row r="43">
          <cell r="B43">
            <v>62900</v>
          </cell>
          <cell r="C43">
            <v>62900</v>
          </cell>
          <cell r="D43">
            <v>62900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LEA"/>
    </sheetNames>
    <sheetDataSet>
      <sheetData sheetId="0" refreshError="1">
        <row r="3">
          <cell r="C3">
            <v>2060</v>
          </cell>
        </row>
        <row r="4">
          <cell r="C4">
            <v>1095692</v>
          </cell>
        </row>
        <row r="8">
          <cell r="C8">
            <v>35227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cilities expenditures "/>
    </sheetNames>
    <sheetDataSet>
      <sheetData sheetId="0">
        <row r="31">
          <cell r="D31">
            <v>2466647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s"/>
      <sheetName val="FY14 Projections by grd (PCS)"/>
      <sheetName val="FY13 Audited by grd (OSSE)"/>
      <sheetName val="Enrollment Growth 13 to 14 (#)"/>
      <sheetName val="Enrollment Growth 13 to 14  (%)"/>
      <sheetName val="Data inputs (2)"/>
      <sheetName val="FY14 vs. FY13 by site"/>
      <sheetName val="FY14 vs. ceiling by LEA"/>
      <sheetName val="New Seats"/>
      <sheetName val="New Classrooms"/>
      <sheetName val="Tier 1 Seats"/>
      <sheetName val="Tier 2 Seats"/>
      <sheetName val="Sheet1"/>
    </sheetNames>
    <sheetDataSet>
      <sheetData sheetId="0"/>
      <sheetData sheetId="1">
        <row r="2">
          <cell r="B2">
            <v>0</v>
          </cell>
          <cell r="C2">
            <v>0</v>
          </cell>
          <cell r="D2">
            <v>80</v>
          </cell>
          <cell r="E2">
            <v>75</v>
          </cell>
          <cell r="F2">
            <v>50</v>
          </cell>
          <cell r="G2">
            <v>50</v>
          </cell>
          <cell r="H2">
            <v>80</v>
          </cell>
          <cell r="I2">
            <v>100</v>
          </cell>
          <cell r="J2">
            <v>100</v>
          </cell>
          <cell r="K2">
            <v>80</v>
          </cell>
          <cell r="L2">
            <v>29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U2">
            <v>644</v>
          </cell>
        </row>
        <row r="3">
          <cell r="B3">
            <v>41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81</v>
          </cell>
          <cell r="C4">
            <v>81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41</v>
          </cell>
          <cell r="C5">
            <v>41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41</v>
          </cell>
          <cell r="C6">
            <v>21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100</v>
          </cell>
          <cell r="C7">
            <v>60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41</v>
          </cell>
          <cell r="C8">
            <v>41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41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75</v>
          </cell>
          <cell r="C10">
            <v>90</v>
          </cell>
          <cell r="D10">
            <v>100</v>
          </cell>
          <cell r="E10">
            <v>75</v>
          </cell>
          <cell r="F10">
            <v>75</v>
          </cell>
          <cell r="G10">
            <v>75</v>
          </cell>
          <cell r="H10">
            <v>75</v>
          </cell>
          <cell r="I10">
            <v>75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155</v>
          </cell>
          <cell r="J11">
            <v>150</v>
          </cell>
          <cell r="K11">
            <v>145</v>
          </cell>
          <cell r="L11">
            <v>70</v>
          </cell>
          <cell r="M11">
            <v>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55</v>
          </cell>
          <cell r="N12">
            <v>55</v>
          </cell>
          <cell r="O12">
            <v>55</v>
          </cell>
          <cell r="P12">
            <v>55</v>
          </cell>
          <cell r="Q12">
            <v>0</v>
          </cell>
          <cell r="R12">
            <v>0</v>
          </cell>
          <cell r="S12">
            <v>175</v>
          </cell>
        </row>
        <row r="13">
          <cell r="B13">
            <v>48</v>
          </cell>
          <cell r="C13">
            <v>64</v>
          </cell>
          <cell r="D13">
            <v>52</v>
          </cell>
          <cell r="E13">
            <v>52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32</v>
          </cell>
          <cell r="C14">
            <v>40</v>
          </cell>
          <cell r="D14">
            <v>48</v>
          </cell>
          <cell r="E14">
            <v>50</v>
          </cell>
          <cell r="F14">
            <v>50</v>
          </cell>
          <cell r="G14">
            <v>50</v>
          </cell>
          <cell r="H14">
            <v>50</v>
          </cell>
          <cell r="Q14">
            <v>0</v>
          </cell>
          <cell r="R14">
            <v>0</v>
          </cell>
          <cell r="S14">
            <v>0</v>
          </cell>
        </row>
        <row r="15">
          <cell r="I15">
            <v>80</v>
          </cell>
          <cell r="J15">
            <v>80</v>
          </cell>
          <cell r="K15">
            <v>80</v>
          </cell>
          <cell r="L15">
            <v>80</v>
          </cell>
          <cell r="Q15">
            <v>0</v>
          </cell>
          <cell r="R15">
            <v>0</v>
          </cell>
          <cell r="S15">
            <v>0</v>
          </cell>
        </row>
        <row r="16">
          <cell r="M16">
            <v>90</v>
          </cell>
          <cell r="N16">
            <v>90</v>
          </cell>
          <cell r="O16">
            <v>75</v>
          </cell>
          <cell r="P16">
            <v>65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1700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250</v>
          </cell>
        </row>
        <row r="19">
          <cell r="B19">
            <v>0</v>
          </cell>
          <cell r="C19">
            <v>20</v>
          </cell>
          <cell r="D19">
            <v>23</v>
          </cell>
          <cell r="E19">
            <v>23</v>
          </cell>
          <cell r="F19">
            <v>25</v>
          </cell>
          <cell r="G19">
            <v>25</v>
          </cell>
          <cell r="H19">
            <v>25</v>
          </cell>
          <cell r="I19">
            <v>25</v>
          </cell>
          <cell r="J19">
            <v>25</v>
          </cell>
          <cell r="K19">
            <v>22</v>
          </cell>
          <cell r="L19">
            <v>20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20</v>
          </cell>
          <cell r="D20">
            <v>23</v>
          </cell>
          <cell r="E20">
            <v>23</v>
          </cell>
          <cell r="F20">
            <v>25</v>
          </cell>
          <cell r="G20">
            <v>25</v>
          </cell>
          <cell r="H20">
            <v>25</v>
          </cell>
          <cell r="I20">
            <v>25</v>
          </cell>
          <cell r="J20">
            <v>25</v>
          </cell>
          <cell r="K20">
            <v>22</v>
          </cell>
          <cell r="L20">
            <v>20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0</v>
          </cell>
          <cell r="C21">
            <v>20</v>
          </cell>
          <cell r="D21">
            <v>23</v>
          </cell>
          <cell r="E21">
            <v>23</v>
          </cell>
          <cell r="F21">
            <v>25</v>
          </cell>
          <cell r="G21">
            <v>25</v>
          </cell>
          <cell r="H21">
            <v>25</v>
          </cell>
          <cell r="I21">
            <v>25</v>
          </cell>
          <cell r="J21">
            <v>25</v>
          </cell>
          <cell r="K21">
            <v>22</v>
          </cell>
          <cell r="L21">
            <v>20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0</v>
          </cell>
          <cell r="C22">
            <v>20</v>
          </cell>
          <cell r="D22">
            <v>23</v>
          </cell>
          <cell r="E22">
            <v>23</v>
          </cell>
          <cell r="F22">
            <v>25</v>
          </cell>
          <cell r="G22">
            <v>25</v>
          </cell>
          <cell r="H22">
            <v>25</v>
          </cell>
          <cell r="I22">
            <v>25</v>
          </cell>
          <cell r="J22">
            <v>25</v>
          </cell>
          <cell r="K22">
            <v>22</v>
          </cell>
          <cell r="L22">
            <v>20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20</v>
          </cell>
          <cell r="D23">
            <v>23</v>
          </cell>
          <cell r="E23">
            <v>23</v>
          </cell>
          <cell r="F23">
            <v>25</v>
          </cell>
          <cell r="G23">
            <v>25</v>
          </cell>
          <cell r="H23">
            <v>25</v>
          </cell>
          <cell r="I23">
            <v>25</v>
          </cell>
          <cell r="J23">
            <v>25</v>
          </cell>
          <cell r="K23">
            <v>22</v>
          </cell>
          <cell r="L23">
            <v>20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20</v>
          </cell>
          <cell r="D24">
            <v>23</v>
          </cell>
          <cell r="E24">
            <v>23</v>
          </cell>
          <cell r="F24">
            <v>25</v>
          </cell>
          <cell r="G24">
            <v>25</v>
          </cell>
          <cell r="H24">
            <v>25</v>
          </cell>
          <cell r="I24">
            <v>25</v>
          </cell>
          <cell r="J24">
            <v>25</v>
          </cell>
          <cell r="K24">
            <v>22</v>
          </cell>
          <cell r="L24">
            <v>20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145</v>
          </cell>
          <cell r="N25">
            <v>110</v>
          </cell>
          <cell r="O25">
            <v>85</v>
          </cell>
          <cell r="P25">
            <v>70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105</v>
          </cell>
          <cell r="K26">
            <v>90</v>
          </cell>
          <cell r="L26">
            <v>80</v>
          </cell>
          <cell r="M26">
            <v>30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130</v>
          </cell>
          <cell r="N27">
            <v>100</v>
          </cell>
          <cell r="O27">
            <v>80</v>
          </cell>
          <cell r="P27">
            <v>80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110</v>
          </cell>
          <cell r="K28">
            <v>106</v>
          </cell>
          <cell r="L28">
            <v>96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72</v>
          </cell>
          <cell r="C29">
            <v>81</v>
          </cell>
          <cell r="D29">
            <v>63</v>
          </cell>
          <cell r="E29">
            <v>85</v>
          </cell>
          <cell r="F29">
            <v>76</v>
          </cell>
          <cell r="G29">
            <v>50</v>
          </cell>
          <cell r="H29">
            <v>48</v>
          </cell>
          <cell r="I29">
            <v>45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102</v>
          </cell>
          <cell r="C30">
            <v>114</v>
          </cell>
          <cell r="D30">
            <v>84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114</v>
          </cell>
          <cell r="C31">
            <v>66</v>
          </cell>
          <cell r="D31">
            <v>60</v>
          </cell>
          <cell r="E31">
            <v>45</v>
          </cell>
          <cell r="F31">
            <v>42</v>
          </cell>
          <cell r="G31">
            <v>33</v>
          </cell>
          <cell r="H31">
            <v>37</v>
          </cell>
          <cell r="I31">
            <v>25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60</v>
          </cell>
          <cell r="C32">
            <v>60</v>
          </cell>
          <cell r="D32">
            <v>60</v>
          </cell>
          <cell r="E32">
            <v>46</v>
          </cell>
          <cell r="F32">
            <v>22</v>
          </cell>
          <cell r="G32">
            <v>20</v>
          </cell>
          <cell r="H32">
            <v>20</v>
          </cell>
          <cell r="I32">
            <v>20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18</v>
          </cell>
          <cell r="E33">
            <v>18</v>
          </cell>
          <cell r="F33">
            <v>18</v>
          </cell>
          <cell r="G33">
            <v>19</v>
          </cell>
          <cell r="H33">
            <v>16</v>
          </cell>
          <cell r="I33">
            <v>16</v>
          </cell>
          <cell r="J33">
            <v>15</v>
          </cell>
          <cell r="K33">
            <v>15</v>
          </cell>
          <cell r="L33">
            <v>15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150</v>
          </cell>
          <cell r="R34">
            <v>0</v>
          </cell>
          <cell r="S34">
            <v>0</v>
          </cell>
        </row>
        <row r="35">
          <cell r="B35">
            <v>30</v>
          </cell>
          <cell r="C35">
            <v>32</v>
          </cell>
          <cell r="D35">
            <v>32</v>
          </cell>
          <cell r="E35">
            <v>17</v>
          </cell>
          <cell r="F35">
            <v>13</v>
          </cell>
          <cell r="G35">
            <v>12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20</v>
          </cell>
          <cell r="C36">
            <v>46</v>
          </cell>
          <cell r="D36">
            <v>48</v>
          </cell>
          <cell r="E36">
            <v>48</v>
          </cell>
          <cell r="F36">
            <v>46</v>
          </cell>
          <cell r="G36">
            <v>40</v>
          </cell>
          <cell r="H36">
            <v>68</v>
          </cell>
          <cell r="I36">
            <v>34</v>
          </cell>
          <cell r="J36">
            <v>30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72</v>
          </cell>
          <cell r="C37">
            <v>66</v>
          </cell>
          <cell r="D37">
            <v>69</v>
          </cell>
          <cell r="E37">
            <v>66</v>
          </cell>
          <cell r="F37">
            <v>66</v>
          </cell>
          <cell r="G37">
            <v>69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H38">
            <v>75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72</v>
          </cell>
          <cell r="C39">
            <v>66</v>
          </cell>
          <cell r="D39">
            <v>69</v>
          </cell>
          <cell r="E39">
            <v>66</v>
          </cell>
          <cell r="F39">
            <v>66</v>
          </cell>
          <cell r="G39">
            <v>69</v>
          </cell>
        </row>
        <row r="40">
          <cell r="H40">
            <v>75</v>
          </cell>
          <cell r="I40">
            <v>69</v>
          </cell>
          <cell r="J40">
            <v>63</v>
          </cell>
          <cell r="K40">
            <v>45</v>
          </cell>
          <cell r="L40">
            <v>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55</v>
          </cell>
          <cell r="C41">
            <v>55</v>
          </cell>
          <cell r="D41">
            <v>40</v>
          </cell>
          <cell r="E41">
            <v>40</v>
          </cell>
          <cell r="F41">
            <v>22</v>
          </cell>
          <cell r="G41">
            <v>20</v>
          </cell>
          <cell r="H41">
            <v>18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H42">
            <v>75</v>
          </cell>
          <cell r="I42">
            <v>50</v>
          </cell>
          <cell r="J42">
            <v>100</v>
          </cell>
          <cell r="K42">
            <v>100</v>
          </cell>
          <cell r="L42">
            <v>100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42</v>
          </cell>
          <cell r="C43">
            <v>42</v>
          </cell>
          <cell r="D43">
            <v>46</v>
          </cell>
          <cell r="E43">
            <v>50</v>
          </cell>
          <cell r="F43">
            <v>50</v>
          </cell>
          <cell r="G43">
            <v>75</v>
          </cell>
          <cell r="M43">
            <v>131</v>
          </cell>
          <cell r="N43">
            <v>100</v>
          </cell>
          <cell r="O43">
            <v>88</v>
          </cell>
        </row>
        <row r="44">
          <cell r="B44">
            <v>112</v>
          </cell>
          <cell r="C44">
            <v>144</v>
          </cell>
          <cell r="D44">
            <v>140</v>
          </cell>
          <cell r="E44">
            <v>140</v>
          </cell>
          <cell r="F44">
            <v>86</v>
          </cell>
          <cell r="G44">
            <v>53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32</v>
          </cell>
          <cell r="C45">
            <v>32</v>
          </cell>
          <cell r="D45">
            <v>40</v>
          </cell>
          <cell r="E45">
            <v>40</v>
          </cell>
          <cell r="F45">
            <v>20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13</v>
          </cell>
          <cell r="C46">
            <v>24</v>
          </cell>
          <cell r="D46">
            <v>22</v>
          </cell>
          <cell r="E46">
            <v>42</v>
          </cell>
          <cell r="F46">
            <v>36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26</v>
          </cell>
          <cell r="C47">
            <v>24</v>
          </cell>
          <cell r="D47">
            <v>22</v>
          </cell>
          <cell r="G47">
            <v>40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34</v>
          </cell>
          <cell r="C48">
            <v>11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416</v>
          </cell>
        </row>
        <row r="49">
          <cell r="B49">
            <v>24</v>
          </cell>
          <cell r="C49">
            <v>24</v>
          </cell>
          <cell r="D49">
            <v>48</v>
          </cell>
          <cell r="E49">
            <v>48</v>
          </cell>
          <cell r="F49">
            <v>48</v>
          </cell>
          <cell r="G49">
            <v>48</v>
          </cell>
          <cell r="H49">
            <v>40</v>
          </cell>
          <cell r="I49">
            <v>40</v>
          </cell>
          <cell r="J49">
            <v>30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100</v>
          </cell>
          <cell r="C50">
            <v>120</v>
          </cell>
          <cell r="D50">
            <v>90</v>
          </cell>
          <cell r="E50">
            <v>90</v>
          </cell>
          <cell r="F50">
            <v>80</v>
          </cell>
          <cell r="G50">
            <v>70</v>
          </cell>
          <cell r="H50">
            <v>50</v>
          </cell>
          <cell r="I50">
            <v>50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68</v>
          </cell>
          <cell r="C51">
            <v>72</v>
          </cell>
          <cell r="D51">
            <v>80</v>
          </cell>
          <cell r="E51">
            <v>100</v>
          </cell>
          <cell r="F51">
            <v>75</v>
          </cell>
          <cell r="G51">
            <v>50</v>
          </cell>
          <cell r="H51">
            <v>25</v>
          </cell>
          <cell r="I51">
            <v>25</v>
          </cell>
          <cell r="J51">
            <v>27</v>
          </cell>
          <cell r="K51">
            <v>81</v>
          </cell>
          <cell r="L51">
            <v>81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51</v>
          </cell>
          <cell r="C52">
            <v>54</v>
          </cell>
          <cell r="D52">
            <v>60</v>
          </cell>
          <cell r="E52">
            <v>75</v>
          </cell>
          <cell r="F52">
            <v>75</v>
          </cell>
          <cell r="G52">
            <v>75</v>
          </cell>
          <cell r="H52">
            <v>75</v>
          </cell>
          <cell r="I52">
            <v>75</v>
          </cell>
          <cell r="J52">
            <v>81</v>
          </cell>
          <cell r="K52">
            <v>81</v>
          </cell>
          <cell r="L52">
            <v>81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350</v>
          </cell>
          <cell r="N53">
            <v>300</v>
          </cell>
          <cell r="O53">
            <v>300</v>
          </cell>
          <cell r="P53">
            <v>275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51</v>
          </cell>
          <cell r="C54">
            <v>54</v>
          </cell>
          <cell r="D54">
            <v>80</v>
          </cell>
          <cell r="E54">
            <v>75</v>
          </cell>
          <cell r="F54">
            <v>75</v>
          </cell>
          <cell r="G54">
            <v>75</v>
          </cell>
          <cell r="H54">
            <v>75</v>
          </cell>
          <cell r="I54">
            <v>75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75</v>
          </cell>
          <cell r="K55">
            <v>65</v>
          </cell>
          <cell r="L55">
            <v>83</v>
          </cell>
          <cell r="M55">
            <v>75</v>
          </cell>
          <cell r="N55">
            <v>81</v>
          </cell>
          <cell r="O55">
            <v>30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51</v>
          </cell>
          <cell r="C56">
            <v>54</v>
          </cell>
          <cell r="D56">
            <v>60</v>
          </cell>
          <cell r="E56">
            <v>44</v>
          </cell>
          <cell r="F56">
            <v>41</v>
          </cell>
          <cell r="G56">
            <v>34</v>
          </cell>
          <cell r="H56">
            <v>30</v>
          </cell>
          <cell r="I56">
            <v>34</v>
          </cell>
          <cell r="J56">
            <v>32</v>
          </cell>
          <cell r="K56">
            <v>35</v>
          </cell>
          <cell r="L56">
            <v>46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75</v>
          </cell>
          <cell r="C57">
            <v>75</v>
          </cell>
          <cell r="D57">
            <v>50</v>
          </cell>
          <cell r="E57">
            <v>50</v>
          </cell>
          <cell r="F57">
            <v>50</v>
          </cell>
          <cell r="G57">
            <v>50</v>
          </cell>
          <cell r="H57">
            <v>30</v>
          </cell>
          <cell r="I57">
            <v>20</v>
          </cell>
          <cell r="J57">
            <v>15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50</v>
          </cell>
          <cell r="C58">
            <v>60</v>
          </cell>
          <cell r="D58">
            <v>50</v>
          </cell>
          <cell r="E58">
            <v>50</v>
          </cell>
          <cell r="F58">
            <v>40</v>
          </cell>
          <cell r="G58">
            <v>38</v>
          </cell>
          <cell r="H58">
            <v>30</v>
          </cell>
          <cell r="I58">
            <v>30</v>
          </cell>
          <cell r="J58">
            <v>35</v>
          </cell>
          <cell r="K58">
            <v>31</v>
          </cell>
          <cell r="L58">
            <v>21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65</v>
          </cell>
          <cell r="N59">
            <v>60</v>
          </cell>
          <cell r="O59">
            <v>57</v>
          </cell>
          <cell r="P59">
            <v>43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75</v>
          </cell>
          <cell r="C60">
            <v>75</v>
          </cell>
          <cell r="D60">
            <v>75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110</v>
          </cell>
          <cell r="K63">
            <v>110</v>
          </cell>
          <cell r="L63">
            <v>100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30</v>
          </cell>
          <cell r="C64">
            <v>40</v>
          </cell>
          <cell r="D64">
            <v>40</v>
          </cell>
          <cell r="E64">
            <v>29</v>
          </cell>
          <cell r="F64">
            <v>29</v>
          </cell>
          <cell r="G64">
            <v>24</v>
          </cell>
          <cell r="H64">
            <v>16</v>
          </cell>
          <cell r="I64">
            <v>16</v>
          </cell>
          <cell r="J64">
            <v>30</v>
          </cell>
          <cell r="K64">
            <v>16</v>
          </cell>
          <cell r="L64">
            <v>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49</v>
          </cell>
          <cell r="C65">
            <v>45</v>
          </cell>
          <cell r="D65">
            <v>50</v>
          </cell>
          <cell r="E65">
            <v>96</v>
          </cell>
          <cell r="F65">
            <v>83</v>
          </cell>
          <cell r="G65">
            <v>75</v>
          </cell>
          <cell r="H65">
            <v>49</v>
          </cell>
          <cell r="I65">
            <v>35</v>
          </cell>
          <cell r="J65">
            <v>45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24</v>
          </cell>
          <cell r="C66">
            <v>24</v>
          </cell>
          <cell r="D66">
            <v>60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44</v>
          </cell>
          <cell r="C67">
            <v>44</v>
          </cell>
          <cell r="D67">
            <v>44</v>
          </cell>
          <cell r="E67">
            <v>48</v>
          </cell>
          <cell r="F67">
            <v>24</v>
          </cell>
          <cell r="G67">
            <v>24</v>
          </cell>
          <cell r="H67">
            <v>24</v>
          </cell>
          <cell r="I67">
            <v>24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68</v>
          </cell>
          <cell r="N68">
            <v>68</v>
          </cell>
          <cell r="O68">
            <v>60</v>
          </cell>
          <cell r="P68">
            <v>60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90</v>
          </cell>
          <cell r="J69">
            <v>85</v>
          </cell>
          <cell r="K69">
            <v>80</v>
          </cell>
          <cell r="L69">
            <v>75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M70">
            <v>135</v>
          </cell>
          <cell r="N70">
            <v>125</v>
          </cell>
          <cell r="O70">
            <v>105</v>
          </cell>
          <cell r="P70">
            <v>75</v>
          </cell>
          <cell r="S70">
            <v>0</v>
          </cell>
        </row>
        <row r="71">
          <cell r="B71">
            <v>120</v>
          </cell>
          <cell r="C71">
            <v>0</v>
          </cell>
          <cell r="D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100</v>
          </cell>
          <cell r="C72">
            <v>100</v>
          </cell>
          <cell r="D72">
            <v>100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100</v>
          </cell>
          <cell r="C73">
            <v>100</v>
          </cell>
          <cell r="D73">
            <v>100</v>
          </cell>
          <cell r="Q73">
            <v>0</v>
          </cell>
          <cell r="R73">
            <v>0</v>
          </cell>
          <cell r="S73">
            <v>0</v>
          </cell>
        </row>
        <row r="74">
          <cell r="E74">
            <v>104</v>
          </cell>
          <cell r="F74">
            <v>104</v>
          </cell>
          <cell r="G74">
            <v>104</v>
          </cell>
          <cell r="R74">
            <v>0</v>
          </cell>
          <cell r="S74">
            <v>0</v>
          </cell>
        </row>
        <row r="75">
          <cell r="I75">
            <v>90</v>
          </cell>
          <cell r="J75">
            <v>85</v>
          </cell>
          <cell r="K75">
            <v>80</v>
          </cell>
          <cell r="L75">
            <v>75</v>
          </cell>
          <cell r="Q75">
            <v>0</v>
          </cell>
          <cell r="R75">
            <v>0</v>
          </cell>
          <cell r="S75">
            <v>0</v>
          </cell>
        </row>
        <row r="76">
          <cell r="E76">
            <v>104</v>
          </cell>
          <cell r="F76">
            <v>104</v>
          </cell>
          <cell r="Q76">
            <v>0</v>
          </cell>
          <cell r="R76">
            <v>0</v>
          </cell>
          <cell r="S76">
            <v>0</v>
          </cell>
        </row>
        <row r="77">
          <cell r="B77">
            <v>100</v>
          </cell>
          <cell r="C77">
            <v>100</v>
          </cell>
          <cell r="D77">
            <v>100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104</v>
          </cell>
          <cell r="F78">
            <v>104</v>
          </cell>
          <cell r="G78">
            <v>104</v>
          </cell>
          <cell r="H78">
            <v>104</v>
          </cell>
          <cell r="Q78">
            <v>0</v>
          </cell>
          <cell r="R78">
            <v>0</v>
          </cell>
          <cell r="S78">
            <v>0</v>
          </cell>
        </row>
        <row r="79">
          <cell r="D79">
            <v>125</v>
          </cell>
          <cell r="S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30</v>
          </cell>
          <cell r="I80">
            <v>90</v>
          </cell>
          <cell r="J80">
            <v>85</v>
          </cell>
          <cell r="K80">
            <v>80</v>
          </cell>
          <cell r="L80">
            <v>75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5</v>
          </cell>
          <cell r="N81">
            <v>10</v>
          </cell>
          <cell r="O81">
            <v>15</v>
          </cell>
          <cell r="P81">
            <v>15</v>
          </cell>
          <cell r="Q81">
            <v>0</v>
          </cell>
          <cell r="R81">
            <v>0</v>
          </cell>
          <cell r="S81">
            <v>105</v>
          </cell>
        </row>
        <row r="82">
          <cell r="B82">
            <v>21</v>
          </cell>
          <cell r="C82">
            <v>21</v>
          </cell>
          <cell r="D82">
            <v>33</v>
          </cell>
          <cell r="E82">
            <v>30</v>
          </cell>
          <cell r="F82">
            <v>28</v>
          </cell>
          <cell r="G82">
            <v>29</v>
          </cell>
          <cell r="H82">
            <v>19</v>
          </cell>
          <cell r="I82">
            <v>10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>
            <v>35</v>
          </cell>
          <cell r="C83">
            <v>35</v>
          </cell>
          <cell r="D83">
            <v>28</v>
          </cell>
          <cell r="E83">
            <v>25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>
            <v>36</v>
          </cell>
          <cell r="C84">
            <v>36</v>
          </cell>
          <cell r="D84">
            <v>30</v>
          </cell>
          <cell r="E84">
            <v>30</v>
          </cell>
          <cell r="F84">
            <v>30</v>
          </cell>
          <cell r="G84">
            <v>30</v>
          </cell>
          <cell r="H84">
            <v>30</v>
          </cell>
          <cell r="I84">
            <v>37</v>
          </cell>
          <cell r="J84">
            <v>40</v>
          </cell>
          <cell r="K84">
            <v>30</v>
          </cell>
          <cell r="L84">
            <v>15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P85">
            <v>0</v>
          </cell>
          <cell r="Q85">
            <v>300</v>
          </cell>
          <cell r="R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</v>
          </cell>
          <cell r="K86">
            <v>70</v>
          </cell>
          <cell r="L86">
            <v>70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S87">
            <v>150</v>
          </cell>
        </row>
        <row r="88">
          <cell r="B88">
            <v>50</v>
          </cell>
          <cell r="C88">
            <v>75</v>
          </cell>
          <cell r="D88">
            <v>75</v>
          </cell>
          <cell r="E88">
            <v>75</v>
          </cell>
          <cell r="F88">
            <v>75</v>
          </cell>
          <cell r="G88">
            <v>50</v>
          </cell>
          <cell r="H88">
            <v>50</v>
          </cell>
          <cell r="I88">
            <v>50</v>
          </cell>
          <cell r="J88">
            <v>40</v>
          </cell>
          <cell r="K88">
            <v>30</v>
          </cell>
          <cell r="L88">
            <v>30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>
            <v>40</v>
          </cell>
          <cell r="C89">
            <v>63</v>
          </cell>
          <cell r="D89">
            <v>69</v>
          </cell>
          <cell r="E89">
            <v>69</v>
          </cell>
          <cell r="F89">
            <v>69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110</v>
          </cell>
          <cell r="N90">
            <v>95</v>
          </cell>
          <cell r="O90">
            <v>85</v>
          </cell>
          <cell r="P90">
            <v>65</v>
          </cell>
          <cell r="Q90">
            <v>0</v>
          </cell>
          <cell r="R90">
            <v>0</v>
          </cell>
          <cell r="S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30</v>
          </cell>
          <cell r="K91">
            <v>30</v>
          </cell>
          <cell r="L91">
            <v>30</v>
          </cell>
          <cell r="M91">
            <v>75</v>
          </cell>
          <cell r="N91">
            <v>90</v>
          </cell>
          <cell r="O91">
            <v>85</v>
          </cell>
          <cell r="P91">
            <v>85</v>
          </cell>
          <cell r="Q91">
            <v>0</v>
          </cell>
          <cell r="R91">
            <v>0</v>
          </cell>
          <cell r="S91">
            <v>0</v>
          </cell>
        </row>
        <row r="92">
          <cell r="J92">
            <v>120</v>
          </cell>
          <cell r="K92">
            <v>160</v>
          </cell>
          <cell r="L92">
            <v>170</v>
          </cell>
          <cell r="M92">
            <v>125</v>
          </cell>
          <cell r="N92">
            <v>100</v>
          </cell>
        </row>
        <row r="93">
          <cell r="B93">
            <v>92</v>
          </cell>
          <cell r="C93">
            <v>33</v>
          </cell>
          <cell r="D93">
            <v>45</v>
          </cell>
          <cell r="E93">
            <v>44</v>
          </cell>
          <cell r="F93">
            <v>41</v>
          </cell>
          <cell r="G93">
            <v>39</v>
          </cell>
          <cell r="H93">
            <v>42</v>
          </cell>
          <cell r="I93">
            <v>43</v>
          </cell>
          <cell r="J93">
            <v>103</v>
          </cell>
          <cell r="K93">
            <v>57</v>
          </cell>
          <cell r="L93">
            <v>80</v>
          </cell>
          <cell r="M93">
            <v>129</v>
          </cell>
          <cell r="N93">
            <v>129</v>
          </cell>
          <cell r="O93">
            <v>104</v>
          </cell>
          <cell r="P93">
            <v>69</v>
          </cell>
          <cell r="Q93">
            <v>0</v>
          </cell>
          <cell r="R93">
            <v>0</v>
          </cell>
          <cell r="S93">
            <v>0</v>
          </cell>
        </row>
        <row r="94">
          <cell r="B94">
            <v>48</v>
          </cell>
          <cell r="C94">
            <v>60</v>
          </cell>
          <cell r="D94">
            <v>50</v>
          </cell>
          <cell r="E94">
            <v>50</v>
          </cell>
          <cell r="F94">
            <v>50</v>
          </cell>
          <cell r="G94">
            <v>50</v>
          </cell>
          <cell r="H94">
            <v>50</v>
          </cell>
          <cell r="I94">
            <v>50</v>
          </cell>
          <cell r="J94">
            <v>50</v>
          </cell>
          <cell r="K94">
            <v>25</v>
          </cell>
          <cell r="L94">
            <v>25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75</v>
          </cell>
          <cell r="M95">
            <v>100</v>
          </cell>
          <cell r="N95">
            <v>100</v>
          </cell>
          <cell r="O95">
            <v>100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>
            <v>20</v>
          </cell>
          <cell r="C96">
            <v>20</v>
          </cell>
          <cell r="D96">
            <v>16</v>
          </cell>
          <cell r="E96">
            <v>32</v>
          </cell>
          <cell r="F96">
            <v>0</v>
          </cell>
          <cell r="G96">
            <v>0</v>
          </cell>
          <cell r="H96">
            <v>16</v>
          </cell>
          <cell r="I96">
            <v>0</v>
          </cell>
          <cell r="J96">
            <v>16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85</v>
          </cell>
          <cell r="K97">
            <v>81</v>
          </cell>
          <cell r="L97">
            <v>58</v>
          </cell>
          <cell r="M97">
            <v>31</v>
          </cell>
          <cell r="N97">
            <v>39</v>
          </cell>
          <cell r="O97">
            <v>21</v>
          </cell>
          <cell r="P97">
            <v>25</v>
          </cell>
          <cell r="Q97">
            <v>0</v>
          </cell>
          <cell r="R97">
            <v>0</v>
          </cell>
          <cell r="S97">
            <v>0</v>
          </cell>
        </row>
        <row r="98">
          <cell r="B98">
            <v>44</v>
          </cell>
          <cell r="C98">
            <v>40</v>
          </cell>
          <cell r="D98">
            <v>40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>
            <v>40</v>
          </cell>
          <cell r="C100">
            <v>22</v>
          </cell>
          <cell r="D100">
            <v>14</v>
          </cell>
          <cell r="E100">
            <v>7</v>
          </cell>
          <cell r="F100">
            <v>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120</v>
          </cell>
          <cell r="K101">
            <v>60</v>
          </cell>
          <cell r="L101">
            <v>20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250</v>
          </cell>
          <cell r="S102">
            <v>0</v>
          </cell>
        </row>
        <row r="103">
          <cell r="N103">
            <v>15</v>
          </cell>
          <cell r="O103">
            <v>35</v>
          </cell>
          <cell r="P103">
            <v>90</v>
          </cell>
          <cell r="S103">
            <v>160</v>
          </cell>
        </row>
        <row r="105">
          <cell r="M105">
            <v>135</v>
          </cell>
          <cell r="N105">
            <v>110</v>
          </cell>
          <cell r="O105">
            <v>85</v>
          </cell>
          <cell r="P105">
            <v>75</v>
          </cell>
        </row>
        <row r="106">
          <cell r="B106">
            <v>45</v>
          </cell>
          <cell r="C106">
            <v>45</v>
          </cell>
          <cell r="D106">
            <v>40</v>
          </cell>
          <cell r="E106">
            <v>40</v>
          </cell>
          <cell r="F106">
            <v>25</v>
          </cell>
          <cell r="G106">
            <v>25</v>
          </cell>
          <cell r="H106">
            <v>25</v>
          </cell>
          <cell r="I106">
            <v>20</v>
          </cell>
          <cell r="J106">
            <v>20</v>
          </cell>
          <cell r="K106">
            <v>20</v>
          </cell>
          <cell r="L106">
            <v>20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B107">
            <v>36</v>
          </cell>
          <cell r="C107">
            <v>44</v>
          </cell>
          <cell r="D107">
            <v>44</v>
          </cell>
          <cell r="E107">
            <v>48</v>
          </cell>
          <cell r="F107">
            <v>50</v>
          </cell>
          <cell r="G107">
            <v>50</v>
          </cell>
          <cell r="H107">
            <v>52</v>
          </cell>
          <cell r="I107">
            <v>44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J108">
            <v>49</v>
          </cell>
          <cell r="K108">
            <v>48</v>
          </cell>
          <cell r="L108">
            <v>49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M109">
            <v>80</v>
          </cell>
          <cell r="N109">
            <v>75</v>
          </cell>
          <cell r="O109">
            <v>59</v>
          </cell>
          <cell r="P109">
            <v>55</v>
          </cell>
          <cell r="Q109">
            <v>0</v>
          </cell>
          <cell r="R109">
            <v>0</v>
          </cell>
          <cell r="S109">
            <v>0</v>
          </cell>
        </row>
        <row r="110">
          <cell r="I110">
            <v>90</v>
          </cell>
          <cell r="J110">
            <v>90</v>
          </cell>
          <cell r="K110">
            <v>86</v>
          </cell>
          <cell r="L110">
            <v>86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95</v>
          </cell>
          <cell r="N111">
            <v>90</v>
          </cell>
          <cell r="O111">
            <v>100</v>
          </cell>
          <cell r="P111">
            <v>80</v>
          </cell>
          <cell r="Q111">
            <v>0</v>
          </cell>
          <cell r="R111">
            <v>0</v>
          </cell>
          <cell r="S111">
            <v>0</v>
          </cell>
        </row>
        <row r="112">
          <cell r="B112">
            <v>0</v>
          </cell>
          <cell r="C112">
            <v>76</v>
          </cell>
          <cell r="D112">
            <v>76</v>
          </cell>
          <cell r="E112">
            <v>114</v>
          </cell>
          <cell r="F112">
            <v>68</v>
          </cell>
          <cell r="G112">
            <v>64</v>
          </cell>
          <cell r="H112">
            <v>54</v>
          </cell>
          <cell r="I112">
            <v>41</v>
          </cell>
          <cell r="J112">
            <v>23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>
            <v>40</v>
          </cell>
          <cell r="C113">
            <v>60</v>
          </cell>
          <cell r="D113">
            <v>60</v>
          </cell>
          <cell r="E113">
            <v>60</v>
          </cell>
          <cell r="F113">
            <v>42</v>
          </cell>
          <cell r="G113">
            <v>42</v>
          </cell>
          <cell r="H113">
            <v>43</v>
          </cell>
          <cell r="I113">
            <v>40</v>
          </cell>
          <cell r="J113">
            <v>25</v>
          </cell>
          <cell r="K113">
            <v>26</v>
          </cell>
          <cell r="L113">
            <v>22</v>
          </cell>
          <cell r="S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115</v>
          </cell>
          <cell r="R114">
            <v>0</v>
          </cell>
          <cell r="S1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D53"/>
  <sheetViews>
    <sheetView workbookViewId="0">
      <selection activeCell="A45" sqref="A45:IV45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10">
        <v>0</v>
      </c>
      <c r="C2" s="10">
        <v>0</v>
      </c>
      <c r="D2" s="10">
        <v>0</v>
      </c>
    </row>
    <row r="3" spans="1:4">
      <c r="A3" s="5" t="s">
        <v>20</v>
      </c>
      <c r="B3" s="10">
        <v>0</v>
      </c>
      <c r="C3" s="10">
        <v>0</v>
      </c>
      <c r="D3" s="10">
        <v>0</v>
      </c>
    </row>
    <row r="4" spans="1:4">
      <c r="A4" s="5" t="s">
        <v>1</v>
      </c>
      <c r="B4" s="11">
        <v>31170.1</v>
      </c>
      <c r="C4" s="11">
        <v>32000</v>
      </c>
      <c r="D4" s="11">
        <v>32000</v>
      </c>
    </row>
    <row r="5" spans="1:4">
      <c r="A5" s="7" t="s">
        <v>11</v>
      </c>
      <c r="B5" s="11">
        <v>0</v>
      </c>
      <c r="C5" s="11">
        <v>0</v>
      </c>
      <c r="D5" s="11">
        <v>0</v>
      </c>
    </row>
    <row r="6" spans="1:4">
      <c r="A6" s="7" t="s">
        <v>2</v>
      </c>
      <c r="B6" s="11">
        <v>0</v>
      </c>
      <c r="C6" s="11">
        <v>0</v>
      </c>
      <c r="D6" s="11">
        <v>0</v>
      </c>
    </row>
    <row r="7" spans="1:4">
      <c r="A7" s="7" t="s">
        <v>3</v>
      </c>
      <c r="B7" s="11">
        <v>0</v>
      </c>
      <c r="C7" s="11">
        <v>0</v>
      </c>
      <c r="D7" s="11">
        <v>0</v>
      </c>
    </row>
    <row r="8" spans="1:4">
      <c r="A8" s="7" t="s">
        <v>22</v>
      </c>
      <c r="B8" s="11">
        <v>0</v>
      </c>
      <c r="C8" s="11">
        <v>0</v>
      </c>
      <c r="D8" s="11">
        <v>0</v>
      </c>
    </row>
    <row r="9" spans="1:4">
      <c r="A9" s="7" t="s">
        <v>23</v>
      </c>
      <c r="B9" s="11"/>
      <c r="C9" s="11"/>
      <c r="D9" s="11"/>
    </row>
    <row r="10" spans="1:4">
      <c r="A10" s="7" t="s">
        <v>4</v>
      </c>
      <c r="B10" s="11">
        <v>0</v>
      </c>
      <c r="C10" s="11">
        <v>0</v>
      </c>
      <c r="D10" s="11">
        <v>0</v>
      </c>
    </row>
    <row r="11" spans="1:4">
      <c r="A11" s="7" t="s">
        <v>5</v>
      </c>
      <c r="B11" s="11">
        <v>0</v>
      </c>
      <c r="C11" s="11">
        <v>0</v>
      </c>
      <c r="D11" s="11">
        <v>0</v>
      </c>
    </row>
    <row r="12" spans="1:4">
      <c r="A12" s="7" t="s">
        <v>21</v>
      </c>
      <c r="B12" s="11">
        <v>0</v>
      </c>
      <c r="C12" s="11">
        <v>0</v>
      </c>
      <c r="D12" s="11">
        <v>0</v>
      </c>
    </row>
    <row r="13" spans="1:4">
      <c r="A13" s="7" t="s">
        <v>24</v>
      </c>
      <c r="B13" s="11">
        <v>0</v>
      </c>
      <c r="C13" s="11">
        <v>0</v>
      </c>
      <c r="D13" s="11">
        <v>0</v>
      </c>
    </row>
    <row r="14" spans="1:4">
      <c r="A14" s="7" t="s">
        <v>31</v>
      </c>
      <c r="B14" s="11">
        <v>0</v>
      </c>
      <c r="C14" s="11">
        <v>0</v>
      </c>
      <c r="D14" s="11">
        <v>0</v>
      </c>
    </row>
    <row r="15" spans="1:4">
      <c r="A15" s="3" t="s">
        <v>6</v>
      </c>
      <c r="B15" s="11">
        <f>SUM(B2:B14)</f>
        <v>31170.1</v>
      </c>
      <c r="C15" s="11">
        <f>SUM(C2:C14)</f>
        <v>32000</v>
      </c>
      <c r="D15" s="11">
        <f>SUM(D2:D14)</f>
        <v>32000</v>
      </c>
    </row>
    <row r="16" spans="1:4">
      <c r="A16" s="7"/>
      <c r="B16" s="11"/>
      <c r="C16" s="11"/>
      <c r="D16" s="11"/>
    </row>
    <row r="17" spans="1:4">
      <c r="A17" s="7"/>
      <c r="B17" s="11"/>
      <c r="C17" s="11"/>
      <c r="D17" s="11"/>
    </row>
    <row r="18" spans="1:4">
      <c r="A18" s="3" t="s">
        <v>7</v>
      </c>
      <c r="B18" s="11"/>
      <c r="C18" s="11"/>
      <c r="D18" s="11"/>
    </row>
    <row r="19" spans="1:4">
      <c r="A19" s="5" t="s">
        <v>19</v>
      </c>
      <c r="B19" s="11">
        <v>163735.85</v>
      </c>
      <c r="C19" s="11">
        <v>164079</v>
      </c>
      <c r="D19" s="11">
        <v>169001</v>
      </c>
    </row>
    <row r="20" spans="1:4">
      <c r="A20" s="5" t="s">
        <v>20</v>
      </c>
      <c r="B20" s="11">
        <v>436815.25</v>
      </c>
      <c r="C20" s="11">
        <v>440000</v>
      </c>
      <c r="D20" s="11">
        <v>450000</v>
      </c>
    </row>
    <row r="21" spans="1:4">
      <c r="A21" s="7" t="s">
        <v>2</v>
      </c>
      <c r="B21" s="11">
        <v>0</v>
      </c>
      <c r="C21" s="11">
        <v>0</v>
      </c>
      <c r="D21" s="11">
        <v>0</v>
      </c>
    </row>
    <row r="22" spans="1:4">
      <c r="A22" s="7" t="s">
        <v>3</v>
      </c>
      <c r="B22" s="11">
        <v>17832</v>
      </c>
      <c r="C22" s="11">
        <v>18000</v>
      </c>
      <c r="D22" s="11">
        <v>19000</v>
      </c>
    </row>
    <row r="23" spans="1:4">
      <c r="A23" s="7" t="s">
        <v>25</v>
      </c>
      <c r="B23" s="11">
        <v>572756.04</v>
      </c>
      <c r="C23" s="11">
        <v>580000</v>
      </c>
      <c r="D23" s="11">
        <v>600000</v>
      </c>
    </row>
    <row r="24" spans="1:4">
      <c r="A24" s="7" t="s">
        <v>8</v>
      </c>
      <c r="B24" s="11"/>
      <c r="C24" s="11"/>
      <c r="D24" s="11"/>
    </row>
    <row r="25" spans="1:4">
      <c r="A25" s="7" t="s">
        <v>4</v>
      </c>
      <c r="B25" s="11">
        <v>127078.82</v>
      </c>
      <c r="C25" s="11">
        <v>127079</v>
      </c>
      <c r="D25" s="11">
        <f>+C25+59994</f>
        <v>187073</v>
      </c>
    </row>
    <row r="26" spans="1:4">
      <c r="A26" s="7" t="s">
        <v>9</v>
      </c>
      <c r="B26" s="11">
        <v>117841.97</v>
      </c>
      <c r="C26" s="11">
        <v>117842</v>
      </c>
      <c r="D26" s="11">
        <f>+C26+95994-59994</f>
        <v>153842</v>
      </c>
    </row>
    <row r="27" spans="1:4">
      <c r="A27" s="7" t="s">
        <v>10</v>
      </c>
      <c r="B27" s="11">
        <v>16117.72</v>
      </c>
      <c r="C27" s="11">
        <v>16118</v>
      </c>
      <c r="D27" s="11">
        <v>22000</v>
      </c>
    </row>
    <row r="28" spans="1:4">
      <c r="A28" s="7" t="s">
        <v>26</v>
      </c>
      <c r="B28" s="11">
        <v>860075.14</v>
      </c>
      <c r="C28" s="11">
        <v>246154</v>
      </c>
      <c r="D28" s="11">
        <v>1800000</v>
      </c>
    </row>
    <row r="29" spans="1:4">
      <c r="A29" s="7" t="s">
        <v>31</v>
      </c>
      <c r="B29" s="11">
        <v>205184</v>
      </c>
      <c r="C29" s="11">
        <v>205000</v>
      </c>
      <c r="D29" s="11">
        <v>205000</v>
      </c>
    </row>
    <row r="30" spans="1:4">
      <c r="A30" s="3" t="s">
        <v>12</v>
      </c>
      <c r="B30" s="11">
        <f>SUM(B19:B29)</f>
        <v>2517436.79</v>
      </c>
      <c r="C30" s="11">
        <f>SUM(C19:C29)</f>
        <v>1914272</v>
      </c>
      <c r="D30" s="11">
        <f>SUM(D19:D29)</f>
        <v>3605916</v>
      </c>
    </row>
    <row r="31" spans="1:4">
      <c r="A31" s="7"/>
      <c r="B31" s="11"/>
      <c r="C31" s="11"/>
      <c r="D31" s="11"/>
    </row>
    <row r="32" spans="1:4">
      <c r="A32" s="7"/>
      <c r="B32" s="11"/>
      <c r="C32" s="11"/>
      <c r="D32" s="11"/>
    </row>
    <row r="33" spans="1:4">
      <c r="A33" s="3" t="s">
        <v>13</v>
      </c>
      <c r="B33" s="11">
        <f>B30+B15</f>
        <v>2548606.89</v>
      </c>
      <c r="C33" s="11">
        <f>C30+C15</f>
        <v>1946272</v>
      </c>
      <c r="D33" s="11">
        <f>D30+D15</f>
        <v>3637916</v>
      </c>
    </row>
    <row r="35" spans="1:4">
      <c r="A35" s="2" t="s">
        <v>14</v>
      </c>
      <c r="B35">
        <v>609</v>
      </c>
      <c r="C35">
        <v>610</v>
      </c>
      <c r="D35">
        <v>576</v>
      </c>
    </row>
    <row r="37" spans="1:4">
      <c r="A37" s="1" t="s">
        <v>28</v>
      </c>
      <c r="B37" s="12">
        <f>+B33/B35</f>
        <v>4184.9045812807881</v>
      </c>
      <c r="C37" s="12">
        <f>+C33/C35</f>
        <v>3190.6098360655737</v>
      </c>
      <c r="D37" s="12">
        <f>+D33/D35</f>
        <v>6315.8263888888887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  <c r="B45">
        <v>140</v>
      </c>
      <c r="C45">
        <v>140</v>
      </c>
      <c r="D45">
        <v>140</v>
      </c>
    </row>
    <row r="47" spans="1:4">
      <c r="A47" t="s">
        <v>18</v>
      </c>
      <c r="B47" s="12">
        <f>59429/B35</f>
        <v>97.584564860426923</v>
      </c>
      <c r="C47" s="12">
        <f>59429/C35</f>
        <v>97.424590163934425</v>
      </c>
      <c r="D47" s="12">
        <f>59429/D35</f>
        <v>103.17534722222223</v>
      </c>
    </row>
    <row r="49" spans="1:4">
      <c r="A49" s="1" t="s">
        <v>29</v>
      </c>
      <c r="B49" s="13">
        <f>+B37*B45/B47</f>
        <v>6003.8863955308016</v>
      </c>
      <c r="C49" s="13">
        <f>+C37*C45/C47</f>
        <v>4584.9346278752801</v>
      </c>
      <c r="D49" s="13">
        <f>+D37*D45/D47</f>
        <v>8570.0287738309562</v>
      </c>
    </row>
    <row r="51" spans="1:4">
      <c r="A51" s="1" t="s">
        <v>30</v>
      </c>
      <c r="B51" s="14">
        <f>+B33*B45/B47</f>
        <v>3656366.8148782584</v>
      </c>
      <c r="C51" s="14">
        <f>+C33*C45/C47</f>
        <v>2796810.1230039205</v>
      </c>
      <c r="D51" s="14">
        <f>+D33*D45/D47</f>
        <v>4936336.5737266317</v>
      </c>
    </row>
    <row r="53" spans="1:4">
      <c r="A53" s="15" t="s">
        <v>36</v>
      </c>
    </row>
  </sheetData>
  <phoneticPr fontId="6" type="noConversion"/>
  <printOptions gridLines="1"/>
  <pageMargins left="0.25" right="0.25" top="1.25" bottom="0.5" header="0.5" footer="0.5"/>
  <pageSetup scale="10" orientation="portrait" blackAndWhite="1"/>
  <headerFooter alignWithMargins="0">
    <oddHeader>&amp;LSCHOOL: The Arts and
 Technology Academy&amp;CDC PUBLIC CHARTER SCHOOL
FACILITY COST TEMPLATE&amp;RSITE: N/A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10"/>
  </sheetPr>
  <dimension ref="A1:D51"/>
  <sheetViews>
    <sheetView topLeftCell="A25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style="49" customWidth="1"/>
    <col min="4" max="4" width="16.1640625" style="49" customWidth="1"/>
  </cols>
  <sheetData>
    <row r="1" spans="1:4" ht="24">
      <c r="A1" s="3" t="s">
        <v>0</v>
      </c>
      <c r="B1" s="4" t="s">
        <v>34</v>
      </c>
      <c r="C1" s="47" t="s">
        <v>32</v>
      </c>
      <c r="D1" s="47" t="s">
        <v>33</v>
      </c>
    </row>
    <row r="2" spans="1:4">
      <c r="A2" s="5" t="s">
        <v>19</v>
      </c>
      <c r="B2" s="6">
        <f>'[4]M St'!B2+'[4]NJ Ave'!B2</f>
        <v>0</v>
      </c>
      <c r="C2" s="6">
        <f>'[4]M St'!C2+'[4]NJ Ave'!C2</f>
        <v>18000</v>
      </c>
      <c r="D2" s="6">
        <f>'[4]M St'!D2+'[4]NJ Ave'!D2</f>
        <v>24000</v>
      </c>
    </row>
    <row r="3" spans="1:4">
      <c r="A3" s="5" t="s">
        <v>20</v>
      </c>
      <c r="B3" s="6">
        <f>'[4]M St'!B3+'[4]NJ Ave'!B3</f>
        <v>40634</v>
      </c>
      <c r="C3" s="6">
        <f>'[4]M St'!C3+'[4]NJ Ave'!C3</f>
        <v>54254</v>
      </c>
      <c r="D3" s="6">
        <f>'[4]M St'!D3+'[4]NJ Ave'!D3</f>
        <v>64734</v>
      </c>
    </row>
    <row r="4" spans="1:4">
      <c r="A4" s="5" t="s">
        <v>1</v>
      </c>
      <c r="B4" s="6">
        <f>'[4]M St'!B4+'[4]NJ Ave'!B4</f>
        <v>804953</v>
      </c>
      <c r="C4" s="6">
        <f>'[4]M St'!C4+'[4]NJ Ave'!C4</f>
        <v>972525</v>
      </c>
      <c r="D4" s="6">
        <f>'[4]M St'!D4+'[4]NJ Ave'!D4</f>
        <v>1125335</v>
      </c>
    </row>
    <row r="5" spans="1:4">
      <c r="A5" s="7" t="s">
        <v>11</v>
      </c>
      <c r="B5" s="6">
        <f>'[4]M St'!B5+'[4]NJ Ave'!B5</f>
        <v>316102</v>
      </c>
      <c r="C5" s="6">
        <f>'[4]M St'!C5+'[4]NJ Ave'!C5</f>
        <v>328977</v>
      </c>
      <c r="D5" s="6">
        <f>'[4]M St'!D5+'[4]NJ Ave'!D5</f>
        <v>383322</v>
      </c>
    </row>
    <row r="6" spans="1:4">
      <c r="A6" s="7" t="s">
        <v>2</v>
      </c>
      <c r="B6" s="6">
        <f>'[4]M St'!B6+'[4]NJ Ave'!B6</f>
        <v>229380</v>
      </c>
      <c r="C6" s="6">
        <f>'[4]M St'!C6+'[4]NJ Ave'!C6</f>
        <v>399216</v>
      </c>
      <c r="D6" s="6">
        <f>'[4]M St'!D6+'[4]NJ Ave'!D6</f>
        <v>446619</v>
      </c>
    </row>
    <row r="7" spans="1:4">
      <c r="A7" s="7" t="s">
        <v>3</v>
      </c>
      <c r="B7" s="6">
        <f>'[4]M St'!B7+'[4]NJ Ave'!B7</f>
        <v>28596</v>
      </c>
      <c r="C7" s="6">
        <f>'[4]M St'!C7+'[4]NJ Ave'!C7</f>
        <v>34733</v>
      </c>
      <c r="D7" s="6">
        <f>'[4]M St'!D7+'[4]NJ Ave'!D7</f>
        <v>40148</v>
      </c>
    </row>
    <row r="8" spans="1:4">
      <c r="A8" s="7" t="s">
        <v>22</v>
      </c>
      <c r="B8" s="6">
        <f>'[4]M St'!B8+'[4]NJ Ave'!B8</f>
        <v>0</v>
      </c>
      <c r="C8" s="6">
        <f>'[4]M St'!C8+'[4]NJ Ave'!C8</f>
        <v>0</v>
      </c>
      <c r="D8" s="6">
        <f>'[4]M St'!D8+'[4]NJ Ave'!D8</f>
        <v>0</v>
      </c>
    </row>
    <row r="9" spans="1:4">
      <c r="A9" s="7" t="s">
        <v>23</v>
      </c>
      <c r="B9" s="6">
        <f>'[4]M St'!B9+'[4]NJ Ave'!B9</f>
        <v>0</v>
      </c>
      <c r="C9" s="6">
        <f>'[4]M St'!C9+'[4]NJ Ave'!C9</f>
        <v>0</v>
      </c>
      <c r="D9" s="6">
        <f>'[4]M St'!D9+'[4]NJ Ave'!D9</f>
        <v>0</v>
      </c>
    </row>
    <row r="10" spans="1:4">
      <c r="A10" s="7" t="s">
        <v>4</v>
      </c>
      <c r="B10" s="6">
        <f>'[4]M St'!B10+'[4]NJ Ave'!B10</f>
        <v>0</v>
      </c>
      <c r="C10" s="6">
        <f>'[4]M St'!C10+'[4]NJ Ave'!C10</f>
        <v>0</v>
      </c>
      <c r="D10" s="6">
        <f>'[4]M St'!D10+'[4]NJ Ave'!D10</f>
        <v>0</v>
      </c>
    </row>
    <row r="11" spans="1:4">
      <c r="A11" s="7" t="s">
        <v>5</v>
      </c>
      <c r="B11" s="6">
        <f>'[4]M St'!B11+'[4]NJ Ave'!B11</f>
        <v>0</v>
      </c>
      <c r="C11" s="6">
        <f>'[4]M St'!C11+'[4]NJ Ave'!C11</f>
        <v>0</v>
      </c>
      <c r="D11" s="6">
        <f>'[4]M St'!D11+'[4]NJ Ave'!D11</f>
        <v>0</v>
      </c>
    </row>
    <row r="12" spans="1:4">
      <c r="A12" s="7" t="s">
        <v>21</v>
      </c>
      <c r="B12" s="6">
        <f>'[4]M St'!B12+'[4]NJ Ave'!B12</f>
        <v>0</v>
      </c>
      <c r="C12" s="6">
        <f>'[4]M St'!C12+'[4]NJ Ave'!C12</f>
        <v>0</v>
      </c>
      <c r="D12" s="6">
        <f>'[4]M St'!D12+'[4]NJ Ave'!D12</f>
        <v>0</v>
      </c>
    </row>
    <row r="13" spans="1:4">
      <c r="A13" s="7" t="s">
        <v>24</v>
      </c>
      <c r="B13" s="6">
        <f>'[4]M St'!B13+'[4]NJ Ave'!B13</f>
        <v>0</v>
      </c>
      <c r="C13" s="6">
        <f>'[4]M St'!C13+'[4]NJ Ave'!C13</f>
        <v>75000</v>
      </c>
      <c r="D13" s="6">
        <f>'[4]M St'!D13+'[4]NJ Ave'!D13</f>
        <v>225000</v>
      </c>
    </row>
    <row r="14" spans="1:4">
      <c r="A14" s="7" t="s">
        <v>31</v>
      </c>
      <c r="B14" s="7"/>
      <c r="C14" s="48"/>
      <c r="D14" s="48"/>
    </row>
    <row r="15" spans="1:4">
      <c r="A15" s="3" t="s">
        <v>6</v>
      </c>
      <c r="B15" s="7">
        <f>SUM(B2:B14)</f>
        <v>1419665</v>
      </c>
      <c r="C15" s="48">
        <f>SUM(C2:C14)</f>
        <v>1882705</v>
      </c>
      <c r="D15" s="48">
        <f>SUM(D2:D14)</f>
        <v>2309158</v>
      </c>
    </row>
    <row r="16" spans="1:4">
      <c r="A16" s="7"/>
      <c r="B16" s="7"/>
      <c r="C16" s="48"/>
      <c r="D16" s="48"/>
    </row>
    <row r="17" spans="1:4">
      <c r="A17" s="7"/>
      <c r="B17" s="7"/>
      <c r="C17" s="48"/>
      <c r="D17" s="48"/>
    </row>
    <row r="18" spans="1:4">
      <c r="A18" s="3" t="s">
        <v>7</v>
      </c>
      <c r="B18" s="7"/>
      <c r="C18" s="48"/>
      <c r="D18" s="48"/>
    </row>
    <row r="19" spans="1:4">
      <c r="A19" s="5" t="s">
        <v>19</v>
      </c>
      <c r="B19" s="6">
        <f>'[4]M St'!B19+'[4]NJ Ave'!B19</f>
        <v>0</v>
      </c>
      <c r="C19" s="6">
        <f>'[4]M St'!C19+'[4]NJ Ave'!C19</f>
        <v>0</v>
      </c>
      <c r="D19" s="6">
        <f>'[4]M St'!D19+'[4]NJ Ave'!D19</f>
        <v>0</v>
      </c>
    </row>
    <row r="20" spans="1:4">
      <c r="A20" s="5" t="s">
        <v>20</v>
      </c>
      <c r="B20" s="6">
        <f>'[4]M St'!B20+'[4]NJ Ave'!B20</f>
        <v>0</v>
      </c>
      <c r="C20" s="6">
        <f>'[4]M St'!C20+'[4]NJ Ave'!C20</f>
        <v>0</v>
      </c>
      <c r="D20" s="6">
        <f>'[4]M St'!D20+'[4]NJ Ave'!D20</f>
        <v>0</v>
      </c>
    </row>
    <row r="21" spans="1:4">
      <c r="A21" s="7" t="s">
        <v>2</v>
      </c>
      <c r="B21" s="6">
        <f>'[4]M St'!B21+'[4]NJ Ave'!B21</f>
        <v>0</v>
      </c>
      <c r="C21" s="6">
        <f>'[4]M St'!C21+'[4]NJ Ave'!C21</f>
        <v>0</v>
      </c>
      <c r="D21" s="6">
        <f>'[4]M St'!D21+'[4]NJ Ave'!D21</f>
        <v>0</v>
      </c>
    </row>
    <row r="22" spans="1:4">
      <c r="A22" s="7" t="s">
        <v>3</v>
      </c>
      <c r="B22" s="6">
        <f>'[4]M St'!B22+'[4]NJ Ave'!B22</f>
        <v>0</v>
      </c>
      <c r="C22" s="6">
        <f>'[4]M St'!C22+'[4]NJ Ave'!C22</f>
        <v>0</v>
      </c>
      <c r="D22" s="6">
        <f>'[4]M St'!D22+'[4]NJ Ave'!D22</f>
        <v>0</v>
      </c>
    </row>
    <row r="23" spans="1:4">
      <c r="A23" s="7" t="s">
        <v>25</v>
      </c>
      <c r="B23" s="6">
        <f>'[4]M St'!B23+'[4]NJ Ave'!B23</f>
        <v>0</v>
      </c>
      <c r="C23" s="6">
        <f>'[4]M St'!C23+'[4]NJ Ave'!C23</f>
        <v>0</v>
      </c>
      <c r="D23" s="6">
        <f>'[4]M St'!D23+'[4]NJ Ave'!D23</f>
        <v>0</v>
      </c>
    </row>
    <row r="24" spans="1:4">
      <c r="A24" s="7" t="s">
        <v>8</v>
      </c>
      <c r="B24" s="6">
        <f>'[4]M St'!B24+'[4]NJ Ave'!B24</f>
        <v>0</v>
      </c>
      <c r="C24" s="6">
        <f>'[4]M St'!C24+'[4]NJ Ave'!C24</f>
        <v>0</v>
      </c>
      <c r="D24" s="6">
        <f>'[4]M St'!D24+'[4]NJ Ave'!D24</f>
        <v>0</v>
      </c>
    </row>
    <row r="25" spans="1:4">
      <c r="A25" s="7" t="s">
        <v>4</v>
      </c>
      <c r="B25" s="6">
        <f>'[4]M St'!B25+'[4]NJ Ave'!B25</f>
        <v>0</v>
      </c>
      <c r="C25" s="6">
        <f>'[4]M St'!C25+'[4]NJ Ave'!C25</f>
        <v>0</v>
      </c>
      <c r="D25" s="6">
        <f>'[4]M St'!D25+'[4]NJ Ave'!D25</f>
        <v>0</v>
      </c>
    </row>
    <row r="26" spans="1:4">
      <c r="A26" s="7" t="s">
        <v>9</v>
      </c>
      <c r="B26" s="6">
        <f>'[4]M St'!B26+'[4]NJ Ave'!B26</f>
        <v>0</v>
      </c>
      <c r="C26" s="6">
        <f>'[4]M St'!C26+'[4]NJ Ave'!C26</f>
        <v>0</v>
      </c>
      <c r="D26" s="6">
        <f>'[4]M St'!D26+'[4]NJ Ave'!D26</f>
        <v>0</v>
      </c>
    </row>
    <row r="27" spans="1:4">
      <c r="A27" s="7" t="s">
        <v>10</v>
      </c>
      <c r="B27" s="6">
        <f>'[4]M St'!B27+'[4]NJ Ave'!B27</f>
        <v>0</v>
      </c>
      <c r="C27" s="6">
        <f>'[4]M St'!C27+'[4]NJ Ave'!C27</f>
        <v>0</v>
      </c>
      <c r="D27" s="6">
        <f>'[4]M St'!D27+'[4]NJ Ave'!D27</f>
        <v>0</v>
      </c>
    </row>
    <row r="28" spans="1:4">
      <c r="A28" s="7" t="s">
        <v>26</v>
      </c>
      <c r="B28" s="6">
        <f>'[4]M St'!B28+'[4]NJ Ave'!B28</f>
        <v>0</v>
      </c>
      <c r="C28" s="6">
        <f>'[4]M St'!C28+'[4]NJ Ave'!C28</f>
        <v>0</v>
      </c>
      <c r="D28" s="6">
        <f>'[4]M St'!D28+'[4]NJ Ave'!D28</f>
        <v>0</v>
      </c>
    </row>
    <row r="29" spans="1:4">
      <c r="A29" s="7" t="s">
        <v>31</v>
      </c>
      <c r="B29" s="6">
        <f>'[4]M St'!B29+'[4]NJ Ave'!B29</f>
        <v>0</v>
      </c>
      <c r="C29" s="6">
        <f>'[4]M St'!C29+'[4]NJ Ave'!C29</f>
        <v>0</v>
      </c>
      <c r="D29" s="6">
        <f>'[4]M St'!D29+'[4]NJ Ave'!D29</f>
        <v>0</v>
      </c>
    </row>
    <row r="30" spans="1:4">
      <c r="A30" s="3" t="s">
        <v>12</v>
      </c>
      <c r="B30" s="7">
        <f>SUM(B19:B29)</f>
        <v>0</v>
      </c>
      <c r="C30" s="48">
        <f>SUM(C19:C29)</f>
        <v>0</v>
      </c>
      <c r="D30" s="48">
        <f>SUM(D19:D29)</f>
        <v>0</v>
      </c>
    </row>
    <row r="31" spans="1:4">
      <c r="A31" s="7"/>
      <c r="B31" s="7"/>
      <c r="C31" s="48"/>
      <c r="D31" s="48"/>
    </row>
    <row r="32" spans="1:4">
      <c r="A32" s="7"/>
      <c r="B32" s="7"/>
      <c r="C32" s="48"/>
      <c r="D32" s="48"/>
    </row>
    <row r="33" spans="1:4">
      <c r="A33" s="3" t="s">
        <v>13</v>
      </c>
      <c r="B33" s="7">
        <f>B30+B15</f>
        <v>1419665</v>
      </c>
      <c r="C33" s="48">
        <f>C30+C15</f>
        <v>1882705</v>
      </c>
      <c r="D33" s="48">
        <f>D30+D15</f>
        <v>2309158</v>
      </c>
    </row>
    <row r="35" spans="1:4">
      <c r="A35" s="2" t="s">
        <v>14</v>
      </c>
      <c r="C35" s="34">
        <v>101</v>
      </c>
      <c r="D35" s="34">
        <v>130</v>
      </c>
    </row>
    <row r="37" spans="1:4">
      <c r="A37" s="1" t="s">
        <v>28</v>
      </c>
      <c r="C37" s="49">
        <f>C33/C35</f>
        <v>18640.643564356436</v>
      </c>
      <c r="D37" s="49">
        <f>D33/D35</f>
        <v>17762.753846153846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  <c r="C42" s="49">
        <f>C37*C45/C47</f>
        <v>18249.581111957352</v>
      </c>
      <c r="D42" s="49">
        <f>D37*D45/D47</f>
        <v>17390.1086605702</v>
      </c>
    </row>
    <row r="43" spans="1:4">
      <c r="A43" t="s">
        <v>16</v>
      </c>
    </row>
    <row r="45" spans="1:4">
      <c r="A45" t="s">
        <v>17</v>
      </c>
      <c r="C45" s="34">
        <v>140</v>
      </c>
      <c r="D45" s="34">
        <v>140</v>
      </c>
    </row>
    <row r="47" spans="1:4">
      <c r="A47" t="s">
        <v>18</v>
      </c>
      <c r="C47" s="34">
        <v>143</v>
      </c>
      <c r="D47" s="34">
        <v>143</v>
      </c>
    </row>
    <row r="49" spans="1:4">
      <c r="A49" s="1" t="s">
        <v>29</v>
      </c>
      <c r="C49" s="49">
        <f>C42</f>
        <v>18249.581111957352</v>
      </c>
      <c r="D49" s="49">
        <f>D42</f>
        <v>17390.1086605702</v>
      </c>
    </row>
    <row r="51" spans="1:4">
      <c r="A51" s="1" t="s">
        <v>30</v>
      </c>
      <c r="C51" s="49">
        <f>C49*C35</f>
        <v>1843207.6923076925</v>
      </c>
      <c r="D51" s="49">
        <f>D49*D35</f>
        <v>2260714.1258741259</v>
      </c>
    </row>
  </sheetData>
  <phoneticPr fontId="6" type="noConversion"/>
  <printOptions gridLines="1"/>
  <pageMargins left="0" right="0" top="1.25" bottom="0.5" header="0.5" footer="0.5"/>
  <pageSetup orientation="portrait" blackAndWhite="1"/>
  <headerFooter alignWithMargins="0">
    <oddHeader>&amp;LSCHOOL: Eagle Academy PCS&amp;CDC PUBLIC CHARTER SCHOOL
FACILITY COST TEMPLATE&amp;RSITE: 1017 New Jersey Avenue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10"/>
  </sheetPr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50">
        <v>234303.08</v>
      </c>
      <c r="C2" s="50">
        <v>250000</v>
      </c>
      <c r="D2" s="50">
        <v>262500</v>
      </c>
    </row>
    <row r="3" spans="1:4">
      <c r="A3" s="5" t="s">
        <v>43</v>
      </c>
      <c r="B3" s="50">
        <v>108766.81</v>
      </c>
      <c r="C3" s="50">
        <v>120000</v>
      </c>
      <c r="D3" s="50">
        <v>126000</v>
      </c>
    </row>
    <row r="4" spans="1:4">
      <c r="A4" s="5" t="s">
        <v>1</v>
      </c>
      <c r="B4" s="51">
        <v>1082429.5</v>
      </c>
      <c r="C4" s="51">
        <v>1053899.7801683692</v>
      </c>
      <c r="D4" s="51">
        <v>1057825.9424072339</v>
      </c>
    </row>
    <row r="5" spans="1:4">
      <c r="A5" s="7" t="s">
        <v>11</v>
      </c>
      <c r="B5" s="52">
        <v>0</v>
      </c>
      <c r="C5" s="52">
        <v>0</v>
      </c>
      <c r="D5" s="52">
        <v>0</v>
      </c>
    </row>
    <row r="6" spans="1:4">
      <c r="A6" s="7" t="s">
        <v>2</v>
      </c>
      <c r="B6" s="52">
        <v>0</v>
      </c>
      <c r="C6" s="52">
        <v>0</v>
      </c>
      <c r="D6" s="52">
        <v>0</v>
      </c>
    </row>
    <row r="7" spans="1:4">
      <c r="A7" s="7" t="s">
        <v>3</v>
      </c>
      <c r="B7" s="53"/>
      <c r="C7" s="54"/>
      <c r="D7" s="55"/>
    </row>
    <row r="8" spans="1:4">
      <c r="A8" s="7" t="s">
        <v>22</v>
      </c>
      <c r="B8" s="52">
        <v>0</v>
      </c>
      <c r="C8" s="52">
        <v>0</v>
      </c>
      <c r="D8" s="52">
        <v>0</v>
      </c>
    </row>
    <row r="9" spans="1:4">
      <c r="A9" s="7" t="s">
        <v>23</v>
      </c>
      <c r="B9" s="52"/>
      <c r="C9" s="52"/>
      <c r="D9" s="52"/>
    </row>
    <row r="10" spans="1:4">
      <c r="A10" s="7" t="s">
        <v>4</v>
      </c>
      <c r="B10" s="52">
        <v>146321.64000000001</v>
      </c>
      <c r="C10" s="52">
        <v>165699.96</v>
      </c>
      <c r="D10" s="52">
        <v>165699.96</v>
      </c>
    </row>
    <row r="11" spans="1:4">
      <c r="A11" s="7" t="s">
        <v>5</v>
      </c>
      <c r="B11" s="52">
        <v>0</v>
      </c>
      <c r="C11" s="52">
        <v>0</v>
      </c>
      <c r="D11" s="52">
        <v>0</v>
      </c>
    </row>
    <row r="12" spans="1:4">
      <c r="A12" s="7" t="s">
        <v>21</v>
      </c>
      <c r="B12" s="52">
        <v>0</v>
      </c>
      <c r="C12" s="52">
        <v>0</v>
      </c>
      <c r="D12" s="52">
        <v>0</v>
      </c>
    </row>
    <row r="13" spans="1:4">
      <c r="A13" s="7" t="s">
        <v>24</v>
      </c>
      <c r="B13" s="52">
        <v>36558.379999999997</v>
      </c>
      <c r="C13" s="52">
        <v>47655.29</v>
      </c>
      <c r="D13" s="52">
        <v>60000</v>
      </c>
    </row>
    <row r="14" spans="1:4">
      <c r="A14" s="7" t="s">
        <v>31</v>
      </c>
      <c r="B14" s="52">
        <v>375000</v>
      </c>
      <c r="C14" s="52">
        <v>685000</v>
      </c>
      <c r="D14" s="52">
        <v>400000</v>
      </c>
    </row>
    <row r="15" spans="1:4">
      <c r="A15" s="3" t="s">
        <v>6</v>
      </c>
      <c r="B15" s="56">
        <f>SUM(B2:B14)</f>
        <v>1983379.4100000001</v>
      </c>
      <c r="C15" s="56">
        <f>SUM(C2:C14)</f>
        <v>2322255.0301683694</v>
      </c>
      <c r="D15" s="56">
        <f>SUM(D2:D14)</f>
        <v>2072025.9024072338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7"/>
      <c r="C19" s="7"/>
      <c r="D19" s="7"/>
    </row>
    <row r="20" spans="1:4">
      <c r="A20" s="5" t="s">
        <v>20</v>
      </c>
      <c r="B20" s="7"/>
      <c r="C20" s="7"/>
      <c r="D20" s="7"/>
    </row>
    <row r="21" spans="1:4">
      <c r="A21" s="7" t="s">
        <v>2</v>
      </c>
      <c r="B21" s="7"/>
      <c r="C21" s="7"/>
      <c r="D21" s="7"/>
    </row>
    <row r="22" spans="1:4">
      <c r="A22" s="7" t="s">
        <v>3</v>
      </c>
      <c r="B22" s="7"/>
      <c r="C22" s="7"/>
      <c r="D22" s="7"/>
    </row>
    <row r="23" spans="1:4">
      <c r="A23" s="7" t="s">
        <v>25</v>
      </c>
      <c r="B23" s="7"/>
      <c r="C23" s="7"/>
      <c r="D23" s="7"/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7"/>
      <c r="C25" s="7"/>
      <c r="D25" s="7"/>
    </row>
    <row r="26" spans="1:4">
      <c r="A26" s="7" t="s">
        <v>9</v>
      </c>
      <c r="B26" s="7"/>
      <c r="C26" s="7"/>
      <c r="D26" s="7"/>
    </row>
    <row r="27" spans="1:4">
      <c r="A27" s="7" t="s">
        <v>10</v>
      </c>
      <c r="B27" s="7"/>
      <c r="C27" s="7"/>
      <c r="D27" s="7"/>
    </row>
    <row r="28" spans="1:4">
      <c r="A28" s="7" t="s">
        <v>26</v>
      </c>
      <c r="B28" s="7"/>
      <c r="C28" s="7"/>
      <c r="D28" s="7"/>
    </row>
    <row r="29" spans="1:4">
      <c r="A29" s="7" t="s">
        <v>31</v>
      </c>
      <c r="B29" s="7"/>
      <c r="C29" s="7"/>
      <c r="D29" s="7"/>
    </row>
    <row r="30" spans="1:4">
      <c r="A30" s="3" t="s">
        <v>12</v>
      </c>
      <c r="B30" s="7">
        <f>SUM(B19:B29)</f>
        <v>0</v>
      </c>
      <c r="C30" s="7">
        <f>SUM(C19:C29)</f>
        <v>0</v>
      </c>
      <c r="D30" s="7">
        <f>SUM(D19:D29)</f>
        <v>0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56">
        <f>B30+B15</f>
        <v>1983379.4100000001</v>
      </c>
      <c r="C33" s="56">
        <f>C30+C15</f>
        <v>2322255.0301683694</v>
      </c>
      <c r="D33" s="56">
        <f>D30+D15</f>
        <v>2072025.9024072338</v>
      </c>
    </row>
    <row r="35" spans="1:4">
      <c r="A35" s="2" t="s">
        <v>14</v>
      </c>
      <c r="B35">
        <v>377</v>
      </c>
      <c r="C35">
        <v>460</v>
      </c>
      <c r="D35">
        <v>582</v>
      </c>
    </row>
    <row r="37" spans="1:4">
      <c r="A37" s="1" t="s">
        <v>28</v>
      </c>
      <c r="B37" s="57">
        <f>B33/B35</f>
        <v>5260.9533421750666</v>
      </c>
      <c r="C37" s="57">
        <f>C33/C35</f>
        <v>5048.3805003660209</v>
      </c>
      <c r="D37" s="57">
        <f>D33/D35</f>
        <v>3560.181962899027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scale="98" orientation="portrait" blackAndWhite="1"/>
  <headerFooter alignWithMargins="0">
    <oddHeader>&amp;LSCHOOL:_E.L. Haynes PCS_&amp;CDC PUBLIC CHARTER SCHOOL
FACILITY COST TEMPLATE&amp;RSITE: _3600 Georgia Avenue_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7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3" width="15.33203125" customWidth="1"/>
    <col min="4" max="4" width="13.5" customWidth="1"/>
    <col min="9" max="9" width="12.33203125" bestFit="1" customWidth="1"/>
  </cols>
  <sheetData>
    <row r="1" spans="1:11" ht="24">
      <c r="A1" s="3" t="s">
        <v>0</v>
      </c>
      <c r="B1" s="125" t="s">
        <v>34</v>
      </c>
      <c r="C1" s="125" t="s">
        <v>32</v>
      </c>
      <c r="D1" s="125" t="s">
        <v>33</v>
      </c>
    </row>
    <row r="2" spans="1:11">
      <c r="A2" s="5" t="s">
        <v>19</v>
      </c>
      <c r="B2" s="37"/>
      <c r="C2" s="37"/>
      <c r="D2" s="37"/>
    </row>
    <row r="3" spans="1:11">
      <c r="A3" s="5" t="s">
        <v>20</v>
      </c>
      <c r="B3" s="37">
        <f>16455+946+1166</f>
        <v>18567</v>
      </c>
      <c r="C3" s="37">
        <v>35000</v>
      </c>
      <c r="D3" s="37">
        <v>36071</v>
      </c>
    </row>
    <row r="4" spans="1:11">
      <c r="A4" s="5" t="s">
        <v>127</v>
      </c>
      <c r="B4" s="38">
        <f>146192+420</f>
        <v>146612</v>
      </c>
      <c r="C4" s="38">
        <f>10570*2+10564*10+68475+2100+3090</f>
        <v>200445</v>
      </c>
      <c r="D4" s="38">
        <f>4528*29+70529+5346</f>
        <v>207187</v>
      </c>
    </row>
    <row r="5" spans="1:11">
      <c r="A5" s="7" t="s">
        <v>11</v>
      </c>
      <c r="B5" s="38"/>
      <c r="C5" s="38"/>
      <c r="D5" s="38"/>
    </row>
    <row r="6" spans="1:11">
      <c r="A6" s="7" t="s">
        <v>2</v>
      </c>
      <c r="B6" s="38"/>
      <c r="C6" s="38"/>
      <c r="D6" s="38"/>
    </row>
    <row r="7" spans="1:11">
      <c r="A7" s="7" t="s">
        <v>3</v>
      </c>
      <c r="B7" s="38">
        <v>5043</v>
      </c>
      <c r="C7" s="38">
        <v>5227</v>
      </c>
      <c r="D7" s="38">
        <v>5418</v>
      </c>
      <c r="E7" s="121"/>
    </row>
    <row r="8" spans="1:11">
      <c r="A8" s="7" t="s">
        <v>22</v>
      </c>
      <c r="B8" s="38"/>
      <c r="C8" s="38"/>
      <c r="D8" s="38"/>
    </row>
    <row r="9" spans="1:11">
      <c r="A9" s="7" t="s">
        <v>23</v>
      </c>
      <c r="B9" s="38"/>
      <c r="C9" s="38"/>
      <c r="D9" s="38"/>
    </row>
    <row r="10" spans="1:11">
      <c r="A10" s="7" t="s">
        <v>4</v>
      </c>
      <c r="B10" s="38"/>
      <c r="C10" s="38"/>
      <c r="D10" s="38"/>
    </row>
    <row r="11" spans="1:11">
      <c r="A11" s="7" t="s">
        <v>5</v>
      </c>
      <c r="B11" s="38"/>
      <c r="C11" s="38"/>
      <c r="D11" s="38"/>
    </row>
    <row r="12" spans="1:11">
      <c r="A12" s="7" t="s">
        <v>21</v>
      </c>
      <c r="B12" s="38"/>
      <c r="C12" s="38"/>
      <c r="D12" s="38"/>
    </row>
    <row r="13" spans="1:11">
      <c r="A13" s="7" t="s">
        <v>24</v>
      </c>
      <c r="B13" s="38">
        <f>8030+3813</f>
        <v>11843</v>
      </c>
      <c r="C13" s="38">
        <f>107418.47-8030.25</f>
        <v>99388.22</v>
      </c>
      <c r="D13" s="38"/>
      <c r="E13" s="121"/>
    </row>
    <row r="14" spans="1:11">
      <c r="A14" s="7" t="s">
        <v>31</v>
      </c>
      <c r="B14" s="38"/>
      <c r="C14" s="38"/>
      <c r="D14" s="38"/>
    </row>
    <row r="15" spans="1:11">
      <c r="A15" s="3" t="s">
        <v>6</v>
      </c>
      <c r="B15" s="38">
        <f>SUM(B2:B14)</f>
        <v>182065</v>
      </c>
      <c r="C15" s="38">
        <f>SUM(C2:C14)</f>
        <v>340060.22</v>
      </c>
      <c r="D15" s="38">
        <f>SUM(D2:D14)</f>
        <v>248676</v>
      </c>
    </row>
    <row r="16" spans="1:11">
      <c r="A16" s="7"/>
      <c r="B16" s="38"/>
      <c r="C16" s="38"/>
      <c r="D16" s="38"/>
      <c r="H16" s="121"/>
      <c r="I16" s="121"/>
      <c r="J16" s="121"/>
      <c r="K16" s="121"/>
    </row>
    <row r="17" spans="1:11">
      <c r="A17" s="7"/>
      <c r="B17" s="38"/>
      <c r="C17" s="38"/>
      <c r="D17" s="38"/>
      <c r="H17" s="121"/>
      <c r="I17" s="121"/>
      <c r="J17" s="121"/>
      <c r="K17" s="121"/>
    </row>
    <row r="18" spans="1:11">
      <c r="A18" s="3" t="s">
        <v>7</v>
      </c>
      <c r="B18" s="38"/>
      <c r="C18" s="38"/>
      <c r="D18" s="38"/>
      <c r="H18" s="126"/>
      <c r="I18" s="127"/>
      <c r="J18" s="121"/>
      <c r="K18" s="121"/>
    </row>
    <row r="19" spans="1:11">
      <c r="A19" s="5" t="s">
        <v>19</v>
      </c>
      <c r="B19" s="20"/>
      <c r="C19" s="20"/>
      <c r="D19" s="20"/>
      <c r="H19" s="121"/>
      <c r="I19" s="121"/>
      <c r="J19" s="121"/>
      <c r="K19" s="121"/>
    </row>
    <row r="20" spans="1:11">
      <c r="A20" s="5" t="s">
        <v>20</v>
      </c>
      <c r="B20" s="20"/>
      <c r="C20" s="20"/>
      <c r="D20" s="20"/>
      <c r="H20" s="121"/>
      <c r="I20" s="121"/>
      <c r="J20" s="121"/>
      <c r="K20" s="121"/>
    </row>
    <row r="21" spans="1:11">
      <c r="A21" s="7" t="s">
        <v>2</v>
      </c>
      <c r="B21" s="20"/>
      <c r="C21" s="20"/>
      <c r="D21" s="20"/>
      <c r="H21" s="121"/>
      <c r="I21" s="121"/>
      <c r="J21" s="121"/>
      <c r="K21" s="121"/>
    </row>
    <row r="22" spans="1:11">
      <c r="A22" s="7" t="s">
        <v>3</v>
      </c>
      <c r="B22" s="20"/>
      <c r="C22" s="20"/>
      <c r="D22" s="20"/>
      <c r="H22" s="121"/>
      <c r="I22" s="121"/>
      <c r="J22" s="121"/>
      <c r="K22" s="121"/>
    </row>
    <row r="23" spans="1:11">
      <c r="A23" s="7" t="s">
        <v>25</v>
      </c>
      <c r="B23" s="20"/>
      <c r="C23" s="20"/>
      <c r="D23" s="20"/>
      <c r="H23" s="121"/>
      <c r="I23" s="121"/>
      <c r="J23" s="121"/>
      <c r="K23" s="121"/>
    </row>
    <row r="24" spans="1:11">
      <c r="A24" s="7" t="s">
        <v>8</v>
      </c>
      <c r="B24" s="20"/>
      <c r="C24" s="20"/>
      <c r="D24" s="20"/>
      <c r="H24" s="121"/>
      <c r="I24" s="121"/>
      <c r="J24" s="121"/>
      <c r="K24" s="121"/>
    </row>
    <row r="25" spans="1:11">
      <c r="A25" s="7" t="s">
        <v>4</v>
      </c>
      <c r="B25" s="20"/>
      <c r="C25" s="20"/>
      <c r="D25" s="20"/>
      <c r="H25" s="121"/>
      <c r="I25" s="121"/>
      <c r="J25" s="121"/>
      <c r="K25" s="121"/>
    </row>
    <row r="26" spans="1:11">
      <c r="A26" s="7" t="s">
        <v>9</v>
      </c>
      <c r="B26" s="20"/>
      <c r="C26" s="20"/>
      <c r="D26" s="20"/>
      <c r="H26" s="121"/>
      <c r="I26" s="121"/>
      <c r="J26" s="121"/>
      <c r="K26" s="121"/>
    </row>
    <row r="27" spans="1:11">
      <c r="A27" s="7" t="s">
        <v>10</v>
      </c>
      <c r="B27" s="20"/>
      <c r="C27" s="20"/>
      <c r="D27" s="20"/>
      <c r="H27" s="121"/>
      <c r="I27" s="121"/>
      <c r="J27" s="121"/>
      <c r="K27" s="121"/>
    </row>
    <row r="28" spans="1:11">
      <c r="A28" s="7" t="s">
        <v>26</v>
      </c>
      <c r="B28" s="20"/>
      <c r="C28" s="20"/>
      <c r="D28" s="20">
        <v>171640</v>
      </c>
      <c r="H28" s="121"/>
      <c r="I28" s="121"/>
      <c r="J28" s="121"/>
      <c r="K28" s="121"/>
    </row>
    <row r="29" spans="1:11">
      <c r="A29" s="7" t="s">
        <v>31</v>
      </c>
      <c r="B29" s="20"/>
      <c r="C29" s="20"/>
      <c r="D29" s="20"/>
      <c r="H29" s="121"/>
      <c r="I29" s="121"/>
      <c r="J29" s="121"/>
      <c r="K29" s="121"/>
    </row>
    <row r="30" spans="1:11">
      <c r="A30" s="3" t="s">
        <v>12</v>
      </c>
      <c r="B30" s="20">
        <f>SUM(B19:B29)</f>
        <v>0</v>
      </c>
      <c r="C30" s="20">
        <f>SUM(C19:C29)</f>
        <v>0</v>
      </c>
      <c r="D30" s="20">
        <f>SUM(D19:D29)</f>
        <v>171640</v>
      </c>
      <c r="H30" s="121"/>
      <c r="I30" s="121"/>
      <c r="J30" s="121"/>
      <c r="K30" s="121"/>
    </row>
    <row r="31" spans="1:11">
      <c r="A31" s="7"/>
      <c r="B31" s="20"/>
      <c r="C31" s="20"/>
      <c r="D31" s="20"/>
      <c r="H31" s="121"/>
      <c r="I31" s="121"/>
      <c r="J31" s="121"/>
      <c r="K31" s="121"/>
    </row>
    <row r="32" spans="1:11">
      <c r="A32" s="7"/>
      <c r="B32" s="20"/>
      <c r="C32" s="20"/>
      <c r="D32" s="20"/>
      <c r="H32" s="121"/>
      <c r="I32" s="121"/>
      <c r="J32" s="121"/>
      <c r="K32" s="121"/>
    </row>
    <row r="33" spans="1:11">
      <c r="A33" s="3" t="s">
        <v>13</v>
      </c>
      <c r="B33" s="20">
        <f>B30+B15</f>
        <v>182065</v>
      </c>
      <c r="C33" s="20">
        <f>C30+C15</f>
        <v>340060.22</v>
      </c>
      <c r="D33" s="20">
        <f>D30+D15</f>
        <v>420316</v>
      </c>
      <c r="H33" s="121"/>
      <c r="I33" s="121"/>
      <c r="J33" s="121"/>
      <c r="K33" s="121"/>
    </row>
    <row r="34" spans="1:11">
      <c r="A34" t="s">
        <v>128</v>
      </c>
      <c r="B34" s="128"/>
      <c r="C34" s="128"/>
      <c r="D34" s="128"/>
    </row>
    <row r="35" spans="1:11">
      <c r="A35" t="s">
        <v>129</v>
      </c>
    </row>
    <row r="37" spans="1:11">
      <c r="A37" s="2" t="s">
        <v>14</v>
      </c>
      <c r="B37">
        <v>187</v>
      </c>
      <c r="C37">
        <v>224</v>
      </c>
      <c r="D37">
        <v>250</v>
      </c>
    </row>
    <row r="39" spans="1:11">
      <c r="A39" s="2" t="s">
        <v>37</v>
      </c>
      <c r="B39" s="21">
        <f>4034+2400</f>
        <v>6434</v>
      </c>
      <c r="C39" s="21">
        <f>4034+4528</f>
        <v>8562</v>
      </c>
      <c r="D39" s="21">
        <f>4034+4528</f>
        <v>8562</v>
      </c>
    </row>
    <row r="40" spans="1:11">
      <c r="A40" s="22" t="s">
        <v>38</v>
      </c>
      <c r="B40" s="23">
        <f>B33/B39</f>
        <v>28.297326701896175</v>
      </c>
      <c r="C40" s="23">
        <f>C33/C39</f>
        <v>39.717381452931555</v>
      </c>
      <c r="D40" s="23">
        <f>D33/D39</f>
        <v>49.090866619948613</v>
      </c>
    </row>
    <row r="41" spans="1:11">
      <c r="A41" s="2"/>
    </row>
    <row r="43" spans="1:11">
      <c r="A43" s="1" t="s">
        <v>28</v>
      </c>
      <c r="B43" s="24">
        <f>B33/B37</f>
        <v>973.60962566844921</v>
      </c>
      <c r="C43" s="24">
        <f>C33/C37</f>
        <v>1518.1259821428571</v>
      </c>
      <c r="D43" s="24">
        <f>D33/D37</f>
        <v>1681.2639999999999</v>
      </c>
    </row>
    <row r="45" spans="1:11">
      <c r="A45" s="1" t="s">
        <v>15</v>
      </c>
      <c r="B45">
        <f t="shared" ref="B45:D47" si="0">AVERAGE(140,190)</f>
        <v>165</v>
      </c>
      <c r="C45">
        <f t="shared" si="0"/>
        <v>165</v>
      </c>
      <c r="D45">
        <f t="shared" si="0"/>
        <v>165</v>
      </c>
      <c r="F45" t="s">
        <v>130</v>
      </c>
    </row>
    <row r="46" spans="1:11" hidden="1">
      <c r="B46">
        <f t="shared" si="0"/>
        <v>165</v>
      </c>
      <c r="C46">
        <f t="shared" si="0"/>
        <v>165</v>
      </c>
      <c r="D46">
        <f t="shared" si="0"/>
        <v>165</v>
      </c>
    </row>
    <row r="47" spans="1:11" hidden="1">
      <c r="B47">
        <f t="shared" si="0"/>
        <v>165</v>
      </c>
      <c r="C47">
        <f t="shared" si="0"/>
        <v>165</v>
      </c>
      <c r="D47">
        <f t="shared" si="0"/>
        <v>165</v>
      </c>
    </row>
    <row r="48" spans="1:11">
      <c r="A48" s="1" t="s">
        <v>27</v>
      </c>
      <c r="B48" s="24">
        <f>B43*(B45/B53)</f>
        <v>4669.0589058128699</v>
      </c>
      <c r="C48" s="24">
        <f>C43*(C45/C53)</f>
        <v>6553.3679397337064</v>
      </c>
      <c r="D48" s="24">
        <f>D43*(D45/D53)</f>
        <v>8099.9929922915207</v>
      </c>
    </row>
    <row r="49" spans="1:4">
      <c r="A49" t="s">
        <v>16</v>
      </c>
    </row>
    <row r="51" spans="1:4">
      <c r="A51" t="s">
        <v>17</v>
      </c>
    </row>
    <row r="53" spans="1:4">
      <c r="A53" t="s">
        <v>18</v>
      </c>
      <c r="B53" s="13">
        <f>B39/B37</f>
        <v>34.406417112299465</v>
      </c>
      <c r="C53" s="13">
        <f>C39/C37</f>
        <v>38.223214285714285</v>
      </c>
      <c r="D53" s="13">
        <f>D39/D37</f>
        <v>34.247999999999998</v>
      </c>
    </row>
    <row r="55" spans="1:4">
      <c r="A55" s="1" t="s">
        <v>29</v>
      </c>
      <c r="B55" s="129">
        <f>B48</f>
        <v>4669.0589058128699</v>
      </c>
      <c r="C55" s="129">
        <f>C48</f>
        <v>6553.3679397337064</v>
      </c>
      <c r="D55" s="129">
        <f>D48</f>
        <v>8099.9929922915207</v>
      </c>
    </row>
    <row r="57" spans="1:4">
      <c r="A57" s="1" t="s">
        <v>30</v>
      </c>
      <c r="B57" s="36">
        <f>(B45/B53)*B33</f>
        <v>873114.01538700657</v>
      </c>
      <c r="C57" s="36">
        <f>(C45/C53)*C33</f>
        <v>1467954.4185003501</v>
      </c>
      <c r="D57" s="36">
        <f>(D45/D53)*D33</f>
        <v>2024998.2480728803</v>
      </c>
    </row>
  </sheetData>
  <phoneticPr fontId="4" type="noConversion"/>
  <printOptions gridLines="1"/>
  <pageMargins left="0.25" right="0.25" top="1.25" bottom="0.5" header="0.5" footer="0.5"/>
  <pageSetup scale="10"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D51"/>
  <sheetViews>
    <sheetView topLeftCell="A45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6"/>
      <c r="C2" s="6"/>
      <c r="D2" s="6"/>
    </row>
    <row r="3" spans="1:4">
      <c r="A3" s="5" t="s">
        <v>20</v>
      </c>
      <c r="B3" s="10"/>
      <c r="C3" s="10"/>
      <c r="D3" s="6"/>
    </row>
    <row r="4" spans="1:4">
      <c r="A4" s="5" t="s">
        <v>1</v>
      </c>
      <c r="B4" s="58">
        <v>112492</v>
      </c>
      <c r="C4" s="58"/>
      <c r="D4" s="7"/>
    </row>
    <row r="5" spans="1:4">
      <c r="A5" s="7" t="s">
        <v>11</v>
      </c>
      <c r="B5" s="58"/>
      <c r="C5" s="58"/>
      <c r="D5" s="7"/>
    </row>
    <row r="6" spans="1:4">
      <c r="A6" s="7" t="s">
        <v>2</v>
      </c>
      <c r="B6" s="58"/>
      <c r="C6" s="58"/>
      <c r="D6" s="7"/>
    </row>
    <row r="7" spans="1:4">
      <c r="A7" s="7" t="s">
        <v>3</v>
      </c>
      <c r="B7" s="58"/>
      <c r="C7" s="58"/>
      <c r="D7" s="7"/>
    </row>
    <row r="8" spans="1:4">
      <c r="A8" s="7" t="s">
        <v>22</v>
      </c>
      <c r="B8" s="58"/>
      <c r="C8" s="58"/>
      <c r="D8" s="7"/>
    </row>
    <row r="9" spans="1:4">
      <c r="A9" s="7" t="s">
        <v>23</v>
      </c>
      <c r="B9" s="58"/>
      <c r="C9" s="58"/>
      <c r="D9" s="7"/>
    </row>
    <row r="10" spans="1:4">
      <c r="A10" s="7" t="s">
        <v>4</v>
      </c>
      <c r="B10" s="58"/>
      <c r="C10" s="58"/>
      <c r="D10" s="7"/>
    </row>
    <row r="11" spans="1:4">
      <c r="A11" s="7" t="s">
        <v>5</v>
      </c>
      <c r="B11" s="58"/>
      <c r="C11" s="58"/>
      <c r="D11" s="7"/>
    </row>
    <row r="12" spans="1:4">
      <c r="A12" s="7" t="s">
        <v>21</v>
      </c>
      <c r="B12" s="58"/>
      <c r="C12" s="58"/>
      <c r="D12" s="7"/>
    </row>
    <row r="13" spans="1:4">
      <c r="A13" s="7" t="s">
        <v>24</v>
      </c>
      <c r="B13" s="58"/>
      <c r="C13" s="58"/>
      <c r="D13" s="7"/>
    </row>
    <row r="14" spans="1:4">
      <c r="A14" s="7" t="s">
        <v>31</v>
      </c>
      <c r="B14" s="58"/>
      <c r="C14" s="58"/>
      <c r="D14" s="7"/>
    </row>
    <row r="15" spans="1:4">
      <c r="A15" s="3" t="s">
        <v>6</v>
      </c>
      <c r="B15" s="58">
        <f>SUM(B2:B14)</f>
        <v>112492</v>
      </c>
      <c r="C15" s="58">
        <f>SUM(C2:C14)</f>
        <v>0</v>
      </c>
      <c r="D15" s="7">
        <f>SUM(D2:D14)</f>
        <v>0</v>
      </c>
    </row>
    <row r="16" spans="1:4">
      <c r="A16" s="7"/>
      <c r="B16" s="58"/>
      <c r="C16" s="58"/>
      <c r="D16" s="7"/>
    </row>
    <row r="17" spans="1:4">
      <c r="A17" s="7"/>
      <c r="B17" s="58"/>
      <c r="C17" s="58"/>
      <c r="D17" s="7"/>
    </row>
    <row r="18" spans="1:4">
      <c r="A18" s="3" t="s">
        <v>7</v>
      </c>
      <c r="B18" s="58"/>
      <c r="C18" s="58"/>
      <c r="D18" s="7"/>
    </row>
    <row r="19" spans="1:4">
      <c r="A19" s="5" t="s">
        <v>19</v>
      </c>
      <c r="B19" s="58">
        <v>69880</v>
      </c>
      <c r="C19" s="58">
        <v>86000</v>
      </c>
      <c r="D19" s="7"/>
    </row>
    <row r="20" spans="1:4">
      <c r="A20" s="5" t="s">
        <v>20</v>
      </c>
      <c r="B20" s="58">
        <v>258169</v>
      </c>
      <c r="C20" s="58">
        <v>309803</v>
      </c>
      <c r="D20" s="7"/>
    </row>
    <row r="21" spans="1:4">
      <c r="A21" s="7" t="s">
        <v>2</v>
      </c>
      <c r="B21" s="58"/>
      <c r="C21" s="58"/>
      <c r="D21" s="7"/>
    </row>
    <row r="22" spans="1:4">
      <c r="A22" s="7" t="s">
        <v>3</v>
      </c>
      <c r="B22" s="58">
        <v>21865</v>
      </c>
      <c r="C22" s="58">
        <v>22000</v>
      </c>
      <c r="D22" s="7"/>
    </row>
    <row r="23" spans="1:4">
      <c r="A23" s="7" t="s">
        <v>25</v>
      </c>
      <c r="B23" s="58">
        <v>226891</v>
      </c>
      <c r="C23" s="58">
        <v>272269</v>
      </c>
      <c r="D23" s="7"/>
    </row>
    <row r="24" spans="1:4">
      <c r="A24" s="7" t="s">
        <v>8</v>
      </c>
      <c r="B24" s="58"/>
      <c r="C24" s="58"/>
      <c r="D24" s="7"/>
    </row>
    <row r="25" spans="1:4">
      <c r="A25" s="7" t="s">
        <v>4</v>
      </c>
      <c r="B25" s="58">
        <f>364795+78907</f>
        <v>443702</v>
      </c>
      <c r="C25" s="58">
        <v>180022</v>
      </c>
      <c r="D25" s="7"/>
    </row>
    <row r="26" spans="1:4">
      <c r="A26" s="7" t="s">
        <v>9</v>
      </c>
      <c r="B26" s="58">
        <f>26670+27724+114655</f>
        <v>169049</v>
      </c>
      <c r="C26" s="58">
        <v>587000</v>
      </c>
      <c r="D26" s="7"/>
    </row>
    <row r="27" spans="1:4">
      <c r="A27" s="7" t="s">
        <v>10</v>
      </c>
      <c r="B27" s="58"/>
      <c r="C27" s="58"/>
      <c r="D27" s="7"/>
    </row>
    <row r="28" spans="1:4">
      <c r="A28" s="7" t="s">
        <v>26</v>
      </c>
      <c r="B28" s="58"/>
      <c r="C28" s="58"/>
      <c r="D28" s="7"/>
    </row>
    <row r="29" spans="1:4">
      <c r="A29" s="7" t="s">
        <v>31</v>
      </c>
      <c r="B29" s="58"/>
      <c r="C29" s="58"/>
      <c r="D29" s="7"/>
    </row>
    <row r="30" spans="1:4">
      <c r="A30" s="3" t="s">
        <v>12</v>
      </c>
      <c r="B30" s="58">
        <f>SUM(B19:B29)</f>
        <v>1189556</v>
      </c>
      <c r="C30" s="58">
        <f>SUM(C19:C29)</f>
        <v>1457094</v>
      </c>
      <c r="D30" s="7">
        <f>SUM(D19:D29)</f>
        <v>0</v>
      </c>
    </row>
    <row r="31" spans="1:4">
      <c r="A31" s="7"/>
      <c r="B31" s="58"/>
      <c r="C31" s="58"/>
      <c r="D31" s="7"/>
    </row>
    <row r="32" spans="1:4">
      <c r="A32" s="7"/>
      <c r="B32" s="58"/>
      <c r="C32" s="58"/>
      <c r="D32" s="7"/>
    </row>
    <row r="33" spans="1:4">
      <c r="A33" s="3" t="s">
        <v>13</v>
      </c>
      <c r="B33" s="58">
        <f>B30+B15</f>
        <v>1302048</v>
      </c>
      <c r="C33" s="58">
        <f>C30+C15</f>
        <v>1457094</v>
      </c>
      <c r="D33" s="7">
        <f>D30+D15</f>
        <v>0</v>
      </c>
    </row>
    <row r="35" spans="1:4">
      <c r="A35" s="2" t="s">
        <v>14</v>
      </c>
      <c r="B35">
        <v>314</v>
      </c>
      <c r="C35">
        <v>314</v>
      </c>
    </row>
    <row r="37" spans="1:4">
      <c r="A37" s="1" t="s">
        <v>28</v>
      </c>
      <c r="B37" s="21">
        <f>B33/B35</f>
        <v>4146.6496815286628</v>
      </c>
      <c r="C37" s="21">
        <f>C33/C35</f>
        <v>4640.4267515923566</v>
      </c>
    </row>
    <row r="38" spans="1:4">
      <c r="B38" s="21"/>
      <c r="C38" s="21"/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s="59">
        <f>+B35*(166.67/32106)</f>
        <v>1.6300498349218213</v>
      </c>
      <c r="C42" s="59">
        <f>+C35*(166.67/32106)</f>
        <v>1.6300498349218213</v>
      </c>
    </row>
    <row r="43" spans="1:4">
      <c r="A43" t="s">
        <v>16</v>
      </c>
    </row>
    <row r="45" spans="1:4">
      <c r="A45" t="s">
        <v>17</v>
      </c>
      <c r="B45">
        <v>166.67</v>
      </c>
      <c r="C45">
        <v>166.67</v>
      </c>
    </row>
    <row r="47" spans="1:4">
      <c r="A47" t="s">
        <v>18</v>
      </c>
      <c r="B47" s="59">
        <f>32106/B35</f>
        <v>102.24840764331211</v>
      </c>
      <c r="C47" s="59">
        <f>32106/C35</f>
        <v>102.24840764331211</v>
      </c>
    </row>
    <row r="49" spans="1:3">
      <c r="A49" s="1" t="s">
        <v>29</v>
      </c>
      <c r="B49">
        <f>B45/B47*B37</f>
        <v>6759.2456288544199</v>
      </c>
      <c r="C49">
        <f>C45/C47*C37</f>
        <v>7564.1268603999242</v>
      </c>
    </row>
    <row r="51" spans="1:3">
      <c r="A51" s="1" t="s">
        <v>30</v>
      </c>
      <c r="B51">
        <f>B49*B35</f>
        <v>2122403.1274602879</v>
      </c>
      <c r="C51">
        <f>C49*C35</f>
        <v>2375135.8341655764</v>
      </c>
    </row>
  </sheetData>
  <phoneticPr fontId="6" type="noConversion"/>
  <printOptions gridLines="1"/>
  <pageMargins left="0.25" right="0.25" top="1.25" bottom="0.5" header="0.5" footer="0.5"/>
  <pageSetup orientation="portrait" blackAndWhite="1"/>
  <headerFooter alignWithMargins="0">
    <oddHeader>&amp;LSCHOOL:  &amp;UElsie Whitlow Stokes CFPCS&amp;CDC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0"/>
  </sheetPr>
  <dimension ref="A1:D51"/>
  <sheetViews>
    <sheetView zoomScale="60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20.83203125" bestFit="1" customWidth="1"/>
    <col min="4" max="4" width="20.5" bestFit="1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60">
        <v>672579</v>
      </c>
      <c r="C2" s="37">
        <v>760580</v>
      </c>
      <c r="D2" s="37">
        <v>817750</v>
      </c>
    </row>
    <row r="3" spans="1:4">
      <c r="A3" s="5" t="s">
        <v>20</v>
      </c>
      <c r="B3" s="61">
        <v>908049</v>
      </c>
      <c r="C3" s="62">
        <v>986875</v>
      </c>
      <c r="D3" s="62">
        <v>1036220</v>
      </c>
    </row>
    <row r="4" spans="1:4">
      <c r="A4" s="5" t="s">
        <v>1</v>
      </c>
      <c r="B4" s="58">
        <v>1261892</v>
      </c>
      <c r="C4" s="58">
        <v>1266151</v>
      </c>
      <c r="D4" s="58">
        <v>1291974</v>
      </c>
    </row>
    <row r="5" spans="1:4">
      <c r="A5" s="7" t="s">
        <v>11</v>
      </c>
      <c r="B5" s="58">
        <v>86936</v>
      </c>
      <c r="C5" s="58">
        <v>89600</v>
      </c>
      <c r="D5" s="58">
        <v>92250</v>
      </c>
    </row>
    <row r="6" spans="1:4">
      <c r="A6" s="7" t="s">
        <v>2</v>
      </c>
      <c r="B6" s="58">
        <v>1042</v>
      </c>
      <c r="C6" s="58">
        <v>1100</v>
      </c>
      <c r="D6" s="58">
        <v>1150</v>
      </c>
    </row>
    <row r="7" spans="1:4">
      <c r="A7" s="7" t="s">
        <v>3</v>
      </c>
      <c r="B7" s="58">
        <v>53259</v>
      </c>
      <c r="C7" s="58">
        <v>53260</v>
      </c>
      <c r="D7" s="58">
        <v>56000</v>
      </c>
    </row>
    <row r="8" spans="1:4">
      <c r="A8" s="7" t="s">
        <v>22</v>
      </c>
      <c r="B8" s="58">
        <v>1153835</v>
      </c>
      <c r="C8" s="58">
        <v>1395035</v>
      </c>
      <c r="D8" s="58">
        <v>1400000</v>
      </c>
    </row>
    <row r="9" spans="1:4">
      <c r="A9" s="7" t="s">
        <v>23</v>
      </c>
      <c r="B9" s="7"/>
      <c r="C9" s="7"/>
      <c r="D9" s="7"/>
    </row>
    <row r="10" spans="1:4">
      <c r="A10" s="7" t="s">
        <v>4</v>
      </c>
      <c r="B10" s="58">
        <v>696973</v>
      </c>
      <c r="C10" s="58">
        <v>711100</v>
      </c>
      <c r="D10" s="58">
        <v>698900</v>
      </c>
    </row>
    <row r="11" spans="1:4">
      <c r="A11" s="7" t="s">
        <v>5</v>
      </c>
      <c r="B11" s="58">
        <v>295000</v>
      </c>
      <c r="C11" s="58">
        <v>305000</v>
      </c>
      <c r="D11" s="58">
        <v>320000</v>
      </c>
    </row>
    <row r="12" spans="1:4">
      <c r="A12" s="7" t="s">
        <v>21</v>
      </c>
      <c r="B12" s="58">
        <v>32192</v>
      </c>
      <c r="C12" s="58">
        <v>32192</v>
      </c>
      <c r="D12" s="58">
        <v>32192</v>
      </c>
    </row>
    <row r="13" spans="1:4">
      <c r="A13" s="7" t="s">
        <v>24</v>
      </c>
      <c r="B13" s="58">
        <v>396866</v>
      </c>
      <c r="C13" s="58">
        <v>300000</v>
      </c>
      <c r="D13" s="58">
        <v>300000</v>
      </c>
    </row>
    <row r="14" spans="1:4">
      <c r="A14" s="7" t="s">
        <v>31</v>
      </c>
      <c r="B14" s="58">
        <v>1470128</v>
      </c>
      <c r="C14" s="58">
        <v>1310933</v>
      </c>
      <c r="D14" s="58">
        <v>1326386</v>
      </c>
    </row>
    <row r="15" spans="1:4">
      <c r="A15" s="3" t="s">
        <v>6</v>
      </c>
      <c r="B15" s="63">
        <f>SUM(B2:B14)</f>
        <v>7028751</v>
      </c>
      <c r="C15" s="63">
        <f>SUM(C2:C14)</f>
        <v>7211826</v>
      </c>
      <c r="D15" s="63">
        <f>SUM(D2:D14)</f>
        <v>7372822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20">
        <v>725995</v>
      </c>
      <c r="C19" s="20">
        <v>724445</v>
      </c>
      <c r="D19" s="20">
        <v>779000</v>
      </c>
    </row>
    <row r="20" spans="1:4">
      <c r="A20" s="5" t="s">
        <v>20</v>
      </c>
      <c r="B20" s="58">
        <v>1639211</v>
      </c>
      <c r="C20" s="58">
        <v>1781450</v>
      </c>
      <c r="D20" s="58">
        <v>1870525</v>
      </c>
    </row>
    <row r="21" spans="1:4">
      <c r="A21" s="7" t="s">
        <v>2</v>
      </c>
      <c r="B21" s="58">
        <v>54260</v>
      </c>
      <c r="C21" s="58">
        <v>57000</v>
      </c>
      <c r="D21" s="58">
        <v>58500</v>
      </c>
    </row>
    <row r="22" spans="1:4">
      <c r="A22" s="7" t="s">
        <v>3</v>
      </c>
      <c r="B22" s="58">
        <v>67414</v>
      </c>
      <c r="C22" s="58">
        <v>74712</v>
      </c>
      <c r="D22" s="58">
        <v>80315</v>
      </c>
    </row>
    <row r="23" spans="1:4">
      <c r="A23" s="7" t="s">
        <v>25</v>
      </c>
      <c r="B23" s="58">
        <v>2034563</v>
      </c>
      <c r="C23" s="58">
        <v>1824140</v>
      </c>
      <c r="D23" s="58">
        <v>1900000</v>
      </c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58">
        <v>2283457</v>
      </c>
      <c r="C25" s="58">
        <v>2387459</v>
      </c>
      <c r="D25" s="58">
        <v>2363636</v>
      </c>
    </row>
    <row r="26" spans="1:4">
      <c r="A26" s="7" t="s">
        <v>9</v>
      </c>
      <c r="B26" s="58">
        <v>870000</v>
      </c>
      <c r="C26" s="58">
        <v>1347482</v>
      </c>
      <c r="D26" s="58">
        <v>1116019</v>
      </c>
    </row>
    <row r="27" spans="1:4">
      <c r="A27" s="7" t="s">
        <v>10</v>
      </c>
      <c r="B27" s="58">
        <v>126408</v>
      </c>
      <c r="C27" s="58">
        <v>126408</v>
      </c>
      <c r="D27" s="58">
        <v>126408</v>
      </c>
    </row>
    <row r="28" spans="1:4">
      <c r="A28" s="7" t="s">
        <v>26</v>
      </c>
      <c r="B28" s="58">
        <v>1399023</v>
      </c>
      <c r="C28" s="58">
        <v>1800000</v>
      </c>
      <c r="D28" s="58">
        <v>3133000</v>
      </c>
    </row>
    <row r="29" spans="1:4">
      <c r="A29" s="7" t="s">
        <v>31</v>
      </c>
      <c r="B29" s="58">
        <v>1604217</v>
      </c>
      <c r="C29" s="58">
        <v>1474139</v>
      </c>
      <c r="D29" s="58">
        <v>1670432</v>
      </c>
    </row>
    <row r="30" spans="1:4">
      <c r="A30" s="3" t="s">
        <v>12</v>
      </c>
      <c r="B30" s="63">
        <f>SUM(B19:B29)</f>
        <v>10804548</v>
      </c>
      <c r="C30" s="63">
        <f>SUM(C19:C29)</f>
        <v>11597235</v>
      </c>
      <c r="D30" s="63">
        <f>SUM(D19:D29)</f>
        <v>13097835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63">
        <f>B30+B15</f>
        <v>17833299</v>
      </c>
      <c r="C33" s="63">
        <f>C30+C15</f>
        <v>18809061</v>
      </c>
      <c r="D33" s="63">
        <f>D30+D15</f>
        <v>20470657</v>
      </c>
    </row>
    <row r="35" spans="1:4">
      <c r="A35" s="2" t="s">
        <v>14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scale="90"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H51"/>
  <sheetViews>
    <sheetView topLeftCell="A25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style="72" customWidth="1"/>
    <col min="3" max="3" width="15.33203125" customWidth="1"/>
    <col min="4" max="4" width="16.1640625" customWidth="1"/>
    <col min="6" max="6" width="11.6640625" style="69" bestFit="1" customWidth="1"/>
    <col min="7" max="7" width="10.1640625" style="69" bestFit="1" customWidth="1"/>
    <col min="8" max="8" width="18.1640625" bestFit="1" customWidth="1"/>
  </cols>
  <sheetData>
    <row r="1" spans="1:8">
      <c r="A1" s="3" t="s">
        <v>0</v>
      </c>
      <c r="B1" s="4" t="s">
        <v>44</v>
      </c>
      <c r="C1" s="4" t="s">
        <v>32</v>
      </c>
      <c r="D1" s="4" t="s">
        <v>33</v>
      </c>
      <c r="F1" s="291"/>
      <c r="G1" s="291"/>
      <c r="H1" s="64"/>
    </row>
    <row r="2" spans="1:8">
      <c r="A2" s="5" t="s">
        <v>19</v>
      </c>
      <c r="B2" s="65">
        <v>227982.66</v>
      </c>
      <c r="C2" s="65">
        <v>231233.25679999997</v>
      </c>
      <c r="D2" s="65">
        <v>242794.91963999998</v>
      </c>
      <c r="F2" s="66"/>
      <c r="G2" s="66"/>
      <c r="H2" s="64"/>
    </row>
    <row r="3" spans="1:8">
      <c r="A3" s="5" t="s">
        <v>20</v>
      </c>
      <c r="B3" s="65">
        <v>74570.501000000004</v>
      </c>
      <c r="C3" s="65">
        <v>62715</v>
      </c>
      <c r="D3" s="65">
        <v>65850.75</v>
      </c>
      <c r="F3" s="67"/>
      <c r="G3" s="67"/>
      <c r="H3" s="64"/>
    </row>
    <row r="4" spans="1:8">
      <c r="A4" s="5" t="s">
        <v>1</v>
      </c>
      <c r="B4" s="65">
        <v>2014952.3</v>
      </c>
      <c r="C4" s="65">
        <v>2547020.6909999996</v>
      </c>
      <c r="D4" s="65">
        <v>2674371.7255499996</v>
      </c>
      <c r="F4" s="67"/>
      <c r="G4" s="67"/>
      <c r="H4" s="64"/>
    </row>
    <row r="5" spans="1:8">
      <c r="A5" s="7" t="s">
        <v>11</v>
      </c>
      <c r="B5" s="65"/>
      <c r="C5" s="65"/>
      <c r="D5" s="65"/>
      <c r="F5" s="67"/>
      <c r="G5" s="67"/>
      <c r="H5" s="64"/>
    </row>
    <row r="6" spans="1:8">
      <c r="A6" s="7" t="s">
        <v>2</v>
      </c>
      <c r="B6" s="65"/>
      <c r="C6" s="65"/>
      <c r="D6" s="65"/>
      <c r="F6" s="67"/>
      <c r="G6" s="67"/>
      <c r="H6" s="68"/>
    </row>
    <row r="7" spans="1:8">
      <c r="A7" s="7" t="s">
        <v>3</v>
      </c>
      <c r="B7" s="65"/>
      <c r="C7" s="65"/>
      <c r="D7" s="65"/>
      <c r="F7" s="67"/>
      <c r="G7" s="67"/>
      <c r="H7" s="64"/>
    </row>
    <row r="8" spans="1:8">
      <c r="A8" s="7" t="s">
        <v>22</v>
      </c>
      <c r="B8" s="65"/>
      <c r="C8" s="65"/>
      <c r="D8" s="65"/>
      <c r="F8" s="67"/>
      <c r="G8" s="67"/>
      <c r="H8" s="64"/>
    </row>
    <row r="9" spans="1:8">
      <c r="A9" s="7" t="s">
        <v>23</v>
      </c>
      <c r="B9" s="65"/>
      <c r="C9" s="65"/>
      <c r="D9" s="65"/>
    </row>
    <row r="10" spans="1:8">
      <c r="A10" s="7" t="s">
        <v>4</v>
      </c>
      <c r="B10" s="65"/>
      <c r="C10" s="65"/>
      <c r="D10" s="65"/>
    </row>
    <row r="11" spans="1:8">
      <c r="A11" s="7" t="s">
        <v>5</v>
      </c>
      <c r="B11" s="65"/>
      <c r="C11" s="65"/>
      <c r="D11" s="65"/>
    </row>
    <row r="12" spans="1:8">
      <c r="A12" s="7" t="s">
        <v>21</v>
      </c>
      <c r="B12" s="65"/>
      <c r="C12" s="65"/>
      <c r="D12" s="65"/>
    </row>
    <row r="13" spans="1:8">
      <c r="A13" s="7" t="s">
        <v>24</v>
      </c>
      <c r="B13" s="65"/>
      <c r="C13" s="65"/>
      <c r="D13" s="65"/>
    </row>
    <row r="14" spans="1:8">
      <c r="A14" s="7" t="s">
        <v>31</v>
      </c>
      <c r="B14" s="65"/>
      <c r="C14" s="65"/>
      <c r="D14" s="65"/>
    </row>
    <row r="15" spans="1:8">
      <c r="A15" s="3" t="s">
        <v>6</v>
      </c>
      <c r="B15" s="65">
        <f>SUM(B2:B14)</f>
        <v>2317505.4610000001</v>
      </c>
      <c r="C15" s="65">
        <f>SUM(C2:C14)</f>
        <v>2840968.9477999997</v>
      </c>
      <c r="D15" s="65">
        <f>SUM(D2:D14)</f>
        <v>2983017.3951899996</v>
      </c>
    </row>
    <row r="16" spans="1:8">
      <c r="A16" s="7"/>
      <c r="B16" s="65"/>
      <c r="C16" s="65"/>
      <c r="D16" s="65"/>
    </row>
    <row r="17" spans="1:4">
      <c r="A17" s="7"/>
      <c r="B17" s="65"/>
      <c r="C17" s="65"/>
      <c r="D17" s="65"/>
    </row>
    <row r="18" spans="1:4">
      <c r="A18" s="3" t="s">
        <v>7</v>
      </c>
      <c r="B18" s="65" t="s">
        <v>45</v>
      </c>
      <c r="C18" s="65" t="s">
        <v>45</v>
      </c>
      <c r="D18" s="65" t="s">
        <v>45</v>
      </c>
    </row>
    <row r="19" spans="1:4">
      <c r="A19" s="5" t="s">
        <v>19</v>
      </c>
      <c r="B19" s="65"/>
      <c r="C19" s="65"/>
      <c r="D19" s="65"/>
    </row>
    <row r="20" spans="1:4">
      <c r="A20" s="5" t="s">
        <v>20</v>
      </c>
      <c r="B20" s="65"/>
      <c r="C20" s="65"/>
      <c r="D20" s="65"/>
    </row>
    <row r="21" spans="1:4">
      <c r="A21" s="7" t="s">
        <v>2</v>
      </c>
      <c r="B21" s="65"/>
      <c r="C21" s="65"/>
      <c r="D21" s="65"/>
    </row>
    <row r="22" spans="1:4">
      <c r="A22" s="7" t="s">
        <v>3</v>
      </c>
      <c r="B22" s="65"/>
      <c r="C22" s="65"/>
      <c r="D22" s="65"/>
    </row>
    <row r="23" spans="1:4">
      <c r="A23" s="7" t="s">
        <v>25</v>
      </c>
      <c r="B23" s="65"/>
      <c r="C23" s="65"/>
      <c r="D23" s="65"/>
    </row>
    <row r="24" spans="1:4">
      <c r="A24" s="7" t="s">
        <v>8</v>
      </c>
      <c r="B24" s="65"/>
      <c r="C24" s="65"/>
      <c r="D24" s="65"/>
    </row>
    <row r="25" spans="1:4">
      <c r="A25" s="7" t="s">
        <v>4</v>
      </c>
      <c r="B25" s="65"/>
      <c r="C25" s="65"/>
      <c r="D25" s="65"/>
    </row>
    <row r="26" spans="1:4">
      <c r="A26" s="7" t="s">
        <v>9</v>
      </c>
      <c r="B26" s="65"/>
      <c r="C26" s="65"/>
      <c r="D26" s="65"/>
    </row>
    <row r="27" spans="1:4">
      <c r="A27" s="7" t="s">
        <v>10</v>
      </c>
      <c r="B27" s="65"/>
      <c r="C27" s="65"/>
      <c r="D27" s="65"/>
    </row>
    <row r="28" spans="1:4">
      <c r="A28" s="7" t="s">
        <v>26</v>
      </c>
      <c r="B28" s="65"/>
      <c r="C28" s="65"/>
      <c r="D28" s="65"/>
    </row>
    <row r="29" spans="1:4">
      <c r="A29" s="7" t="s">
        <v>31</v>
      </c>
      <c r="B29" s="65"/>
      <c r="C29" s="65"/>
      <c r="D29" s="65"/>
    </row>
    <row r="30" spans="1:4">
      <c r="A30" s="3" t="s">
        <v>12</v>
      </c>
      <c r="B30" s="65">
        <f>SUM(B19:B29)</f>
        <v>0</v>
      </c>
      <c r="C30" s="65">
        <f>SUM(C19:C29)</f>
        <v>0</v>
      </c>
      <c r="D30" s="65">
        <f>SUM(D19:D29)</f>
        <v>0</v>
      </c>
    </row>
    <row r="31" spans="1:4">
      <c r="A31" s="7"/>
      <c r="B31" s="65"/>
      <c r="C31" s="65"/>
      <c r="D31" s="65"/>
    </row>
    <row r="32" spans="1:4">
      <c r="A32" s="7"/>
      <c r="B32" s="65"/>
      <c r="C32" s="65"/>
      <c r="D32" s="65"/>
    </row>
    <row r="33" spans="1:7">
      <c r="A33" s="3" t="s">
        <v>13</v>
      </c>
      <c r="B33" s="65">
        <f>B30+B15</f>
        <v>2317505.4610000001</v>
      </c>
      <c r="C33" s="65">
        <f>C30+C15</f>
        <v>2840968.9477999997</v>
      </c>
      <c r="D33" s="65">
        <f>D30+D15</f>
        <v>2983017.3951899996</v>
      </c>
    </row>
    <row r="34" spans="1:7">
      <c r="A34" s="68" t="s">
        <v>46</v>
      </c>
      <c r="B34" s="70">
        <v>623</v>
      </c>
      <c r="C34" s="70">
        <v>671</v>
      </c>
      <c r="D34" s="71">
        <v>755</v>
      </c>
    </row>
    <row r="35" spans="1:7">
      <c r="A35" s="2" t="s">
        <v>14</v>
      </c>
      <c r="B35" s="72">
        <f>B33/B34</f>
        <v>3719.9124574638845</v>
      </c>
      <c r="C35" s="72">
        <f>C33/C34</f>
        <v>4233.9328581222053</v>
      </c>
      <c r="D35" s="72">
        <f>D33/D34</f>
        <v>3951.0164174701981</v>
      </c>
    </row>
    <row r="37" spans="1:7">
      <c r="A37" s="1" t="s">
        <v>28</v>
      </c>
      <c r="B37" s="72">
        <f>B35</f>
        <v>3719.9124574638845</v>
      </c>
      <c r="C37" s="72">
        <f>C35</f>
        <v>4233.9328581222053</v>
      </c>
      <c r="D37" s="72">
        <f>D35</f>
        <v>3951.0164174701981</v>
      </c>
    </row>
    <row r="38" spans="1:7">
      <c r="F38" s="34"/>
      <c r="G38" s="34"/>
    </row>
    <row r="39" spans="1:7">
      <c r="A39" s="1" t="s">
        <v>15</v>
      </c>
    </row>
    <row r="40" spans="1:7" hidden="1"/>
    <row r="41" spans="1:7" hidden="1"/>
    <row r="42" spans="1:7">
      <c r="A42" s="1" t="s">
        <v>27</v>
      </c>
      <c r="B42" s="72" t="s">
        <v>35</v>
      </c>
    </row>
    <row r="43" spans="1:7">
      <c r="A43" t="s">
        <v>16</v>
      </c>
    </row>
    <row r="45" spans="1:7">
      <c r="A45" t="s">
        <v>17</v>
      </c>
    </row>
    <row r="47" spans="1:7">
      <c r="A47" t="s">
        <v>18</v>
      </c>
      <c r="B47" s="72">
        <f>(34962+40684)/B35</f>
        <v>20.335424788886829</v>
      </c>
      <c r="C47" s="72">
        <f>(34962+40684)/C35</f>
        <v>17.86660358935163</v>
      </c>
      <c r="D47" s="72">
        <f>(34962+40684)/D35</f>
        <v>19.145959420850872</v>
      </c>
    </row>
    <row r="49" spans="1:1">
      <c r="A49" s="1" t="s">
        <v>29</v>
      </c>
    </row>
    <row r="51" spans="1:1">
      <c r="A51" s="1" t="s">
        <v>30</v>
      </c>
    </row>
  </sheetData>
  <mergeCells count="1">
    <mergeCell ref="F1:G1"/>
  </mergeCells>
  <phoneticPr fontId="4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73">
        <v>0</v>
      </c>
      <c r="C2" s="74"/>
      <c r="D2" s="74"/>
    </row>
    <row r="3" spans="1:4">
      <c r="A3" s="5" t="s">
        <v>20</v>
      </c>
      <c r="B3" s="73">
        <f>128992-85860+55036-27782</f>
        <v>70386</v>
      </c>
      <c r="C3" s="74">
        <v>75000</v>
      </c>
      <c r="D3" s="74">
        <v>80000</v>
      </c>
    </row>
    <row r="4" spans="1:4">
      <c r="A4" s="5" t="s">
        <v>1</v>
      </c>
      <c r="B4" s="73">
        <v>0</v>
      </c>
      <c r="C4" s="75"/>
      <c r="D4" s="75"/>
    </row>
    <row r="5" spans="1:4">
      <c r="A5" s="7" t="s">
        <v>11</v>
      </c>
      <c r="B5" s="73">
        <v>0</v>
      </c>
      <c r="C5" s="75"/>
      <c r="D5" s="75"/>
    </row>
    <row r="6" spans="1:4">
      <c r="A6" s="7" t="s">
        <v>2</v>
      </c>
      <c r="B6" s="73">
        <v>0</v>
      </c>
      <c r="C6" s="75"/>
      <c r="D6" s="75"/>
    </row>
    <row r="7" spans="1:4">
      <c r="A7" s="7" t="s">
        <v>3</v>
      </c>
      <c r="B7" s="73">
        <v>21165</v>
      </c>
      <c r="C7" s="75">
        <v>24000</v>
      </c>
      <c r="D7" s="75">
        <v>27000</v>
      </c>
    </row>
    <row r="8" spans="1:4">
      <c r="A8" s="7" t="s">
        <v>22</v>
      </c>
      <c r="B8" s="73">
        <v>388043</v>
      </c>
      <c r="C8" s="75">
        <v>370000</v>
      </c>
      <c r="D8" s="75">
        <v>365000</v>
      </c>
    </row>
    <row r="9" spans="1:4">
      <c r="A9" s="7" t="s">
        <v>23</v>
      </c>
      <c r="B9" s="73">
        <v>0</v>
      </c>
      <c r="C9" s="75"/>
      <c r="D9" s="75"/>
    </row>
    <row r="10" spans="1:4">
      <c r="A10" s="7" t="s">
        <v>4</v>
      </c>
      <c r="B10" s="73">
        <v>0</v>
      </c>
      <c r="C10" s="75"/>
      <c r="D10" s="75"/>
    </row>
    <row r="11" spans="1:4">
      <c r="A11" s="7" t="s">
        <v>5</v>
      </c>
      <c r="B11" s="73">
        <v>0</v>
      </c>
      <c r="C11" s="75"/>
      <c r="D11" s="75"/>
    </row>
    <row r="12" spans="1:4">
      <c r="A12" s="7" t="s">
        <v>21</v>
      </c>
      <c r="B12" s="73">
        <v>0</v>
      </c>
      <c r="C12" s="75"/>
      <c r="D12" s="75"/>
    </row>
    <row r="13" spans="1:4">
      <c r="A13" s="7" t="s">
        <v>24</v>
      </c>
      <c r="B13" s="73">
        <v>27782</v>
      </c>
      <c r="C13" s="75">
        <v>20000</v>
      </c>
      <c r="D13" s="75">
        <v>25000</v>
      </c>
    </row>
    <row r="14" spans="1:4">
      <c r="A14" s="7" t="s">
        <v>31</v>
      </c>
      <c r="B14" s="73">
        <v>0</v>
      </c>
      <c r="C14" s="75"/>
      <c r="D14" s="75"/>
    </row>
    <row r="15" spans="1:4">
      <c r="A15" s="3" t="s">
        <v>6</v>
      </c>
      <c r="B15" s="73">
        <f>SUM(B2:B14)</f>
        <v>507376</v>
      </c>
      <c r="C15" s="75">
        <f>SUM(C2:C14)</f>
        <v>489000</v>
      </c>
      <c r="D15" s="75">
        <f>SUM(D2:D14)</f>
        <v>497000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7"/>
      <c r="C19" s="7"/>
      <c r="D19" s="7"/>
    </row>
    <row r="20" spans="1:4">
      <c r="A20" s="5" t="s">
        <v>20</v>
      </c>
      <c r="B20" s="7"/>
      <c r="C20" s="7"/>
      <c r="D20" s="7"/>
    </row>
    <row r="21" spans="1:4">
      <c r="A21" s="7" t="s">
        <v>2</v>
      </c>
      <c r="B21" s="7"/>
      <c r="C21" s="7"/>
      <c r="D21" s="7"/>
    </row>
    <row r="22" spans="1:4">
      <c r="A22" s="7" t="s">
        <v>3</v>
      </c>
      <c r="B22" s="7"/>
      <c r="C22" s="7"/>
      <c r="D22" s="7"/>
    </row>
    <row r="23" spans="1:4">
      <c r="A23" s="7" t="s">
        <v>25</v>
      </c>
      <c r="B23" s="7"/>
      <c r="C23" s="7"/>
      <c r="D23" s="7"/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7"/>
      <c r="C25" s="7"/>
      <c r="D25" s="7"/>
    </row>
    <row r="26" spans="1:4">
      <c r="A26" s="7" t="s">
        <v>9</v>
      </c>
      <c r="B26" s="7"/>
      <c r="C26" s="7"/>
      <c r="D26" s="7"/>
    </row>
    <row r="27" spans="1:4">
      <c r="A27" s="7" t="s">
        <v>10</v>
      </c>
      <c r="B27" s="7"/>
      <c r="C27" s="7"/>
      <c r="D27" s="7"/>
    </row>
    <row r="28" spans="1:4">
      <c r="A28" s="7" t="s">
        <v>26</v>
      </c>
      <c r="B28" s="7"/>
      <c r="C28" s="7"/>
      <c r="D28" s="7"/>
    </row>
    <row r="29" spans="1:4">
      <c r="A29" s="7" t="s">
        <v>31</v>
      </c>
      <c r="B29" s="7"/>
      <c r="C29" s="7"/>
      <c r="D29" s="7"/>
    </row>
    <row r="30" spans="1:4">
      <c r="A30" s="3" t="s">
        <v>12</v>
      </c>
      <c r="B30" s="7">
        <f>SUM(B19:B29)</f>
        <v>0</v>
      </c>
      <c r="C30" s="7">
        <f>SUM(C19:C29)</f>
        <v>0</v>
      </c>
      <c r="D30" s="7">
        <f>SUM(D19:D29)</f>
        <v>0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7">
        <f>B30+B15</f>
        <v>507376</v>
      </c>
      <c r="C33" s="7">
        <f>C30+C15</f>
        <v>489000</v>
      </c>
      <c r="D33" s="7">
        <f>D30+D15</f>
        <v>497000</v>
      </c>
    </row>
    <row r="35" spans="1:4">
      <c r="A35" s="2" t="s">
        <v>14</v>
      </c>
      <c r="B35">
        <v>161</v>
      </c>
      <c r="C35">
        <v>177</v>
      </c>
      <c r="D35">
        <v>190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1:D51"/>
  <sheetViews>
    <sheetView topLeftCell="A10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76">
        <v>54837</v>
      </c>
      <c r="C2" s="76">
        <f>+B2*1.1</f>
        <v>60320.700000000004</v>
      </c>
      <c r="D2" s="76">
        <v>5000</v>
      </c>
    </row>
    <row r="3" spans="1:4">
      <c r="A3" s="5" t="s">
        <v>20</v>
      </c>
      <c r="B3" s="76">
        <v>64133</v>
      </c>
      <c r="C3" s="76">
        <f>+B3*1.1</f>
        <v>70546.3</v>
      </c>
      <c r="D3" s="76">
        <v>5000</v>
      </c>
    </row>
    <row r="4" spans="1:4">
      <c r="A4" s="5" t="s">
        <v>1</v>
      </c>
      <c r="B4" s="58">
        <v>327951</v>
      </c>
      <c r="C4" s="76">
        <f>+B4*1.02</f>
        <v>334510.02</v>
      </c>
      <c r="D4" s="76">
        <v>39000</v>
      </c>
    </row>
    <row r="5" spans="1:4">
      <c r="A5" s="7" t="s">
        <v>11</v>
      </c>
      <c r="B5" s="58">
        <v>0</v>
      </c>
      <c r="C5" s="58">
        <v>0</v>
      </c>
      <c r="D5" s="58">
        <v>0</v>
      </c>
    </row>
    <row r="6" spans="1:4">
      <c r="A6" s="7" t="s">
        <v>2</v>
      </c>
      <c r="B6" s="58">
        <v>0</v>
      </c>
      <c r="C6" s="58">
        <v>0</v>
      </c>
      <c r="D6" s="58">
        <v>0</v>
      </c>
    </row>
    <row r="7" spans="1:4">
      <c r="A7" s="7" t="s">
        <v>3</v>
      </c>
      <c r="B7" s="58">
        <v>1500</v>
      </c>
      <c r="C7" s="58">
        <v>1500</v>
      </c>
      <c r="D7" s="58">
        <v>1500</v>
      </c>
    </row>
    <row r="8" spans="1:4">
      <c r="A8" s="7" t="s">
        <v>22</v>
      </c>
      <c r="B8" s="58">
        <v>0</v>
      </c>
      <c r="C8" s="58">
        <v>0</v>
      </c>
      <c r="D8" s="58">
        <v>0</v>
      </c>
    </row>
    <row r="9" spans="1:4">
      <c r="A9" s="7" t="s">
        <v>23</v>
      </c>
      <c r="B9" s="58"/>
      <c r="C9" s="58"/>
      <c r="D9" s="58"/>
    </row>
    <row r="10" spans="1:4">
      <c r="A10" s="7" t="s">
        <v>4</v>
      </c>
      <c r="B10" s="58">
        <v>0</v>
      </c>
      <c r="C10" s="58">
        <v>0</v>
      </c>
      <c r="D10" s="58">
        <v>0</v>
      </c>
    </row>
    <row r="11" spans="1:4">
      <c r="A11" s="7" t="s">
        <v>5</v>
      </c>
      <c r="B11" s="58">
        <v>0</v>
      </c>
      <c r="C11" s="58">
        <v>0</v>
      </c>
      <c r="D11" s="58">
        <v>0</v>
      </c>
    </row>
    <row r="12" spans="1:4">
      <c r="A12" s="7" t="s">
        <v>21</v>
      </c>
      <c r="B12" s="58">
        <v>0</v>
      </c>
      <c r="C12" s="58">
        <v>0</v>
      </c>
      <c r="D12" s="58">
        <v>0</v>
      </c>
    </row>
    <row r="13" spans="1:4">
      <c r="A13" s="7" t="s">
        <v>24</v>
      </c>
      <c r="B13" s="58">
        <v>0</v>
      </c>
      <c r="C13" s="58">
        <v>0</v>
      </c>
      <c r="D13" s="58">
        <v>0</v>
      </c>
    </row>
    <row r="14" spans="1:4">
      <c r="A14" s="7" t="s">
        <v>31</v>
      </c>
      <c r="B14" s="58">
        <v>0</v>
      </c>
      <c r="C14" s="58">
        <v>0</v>
      </c>
      <c r="D14" s="58">
        <v>0</v>
      </c>
    </row>
    <row r="15" spans="1:4">
      <c r="A15" s="3" t="s">
        <v>6</v>
      </c>
      <c r="B15" s="58">
        <f>SUM(B2:B14)</f>
        <v>448421</v>
      </c>
      <c r="C15" s="58">
        <f>SUM(C2:C14)</f>
        <v>466877.02</v>
      </c>
      <c r="D15" s="58">
        <f>SUM(D2:D14)</f>
        <v>50500</v>
      </c>
    </row>
    <row r="16" spans="1:4">
      <c r="A16" s="7"/>
      <c r="B16" s="58"/>
      <c r="C16" s="58"/>
      <c r="D16" s="58"/>
    </row>
    <row r="17" spans="1:4">
      <c r="A17" s="7"/>
      <c r="B17" s="58"/>
      <c r="C17" s="58"/>
      <c r="D17" s="58"/>
    </row>
    <row r="18" spans="1:4">
      <c r="A18" s="3" t="s">
        <v>7</v>
      </c>
      <c r="B18" s="58"/>
      <c r="C18" s="58"/>
      <c r="D18" s="58"/>
    </row>
    <row r="19" spans="1:4">
      <c r="A19" s="5" t="s">
        <v>19</v>
      </c>
      <c r="B19" s="58">
        <v>178441</v>
      </c>
      <c r="C19" s="58">
        <v>294680</v>
      </c>
      <c r="D19" s="58">
        <f>+C19*1.1+65000</f>
        <v>389148</v>
      </c>
    </row>
    <row r="20" spans="1:4">
      <c r="A20" s="5" t="s">
        <v>20</v>
      </c>
      <c r="B20" s="58">
        <v>114063</v>
      </c>
      <c r="C20" s="58">
        <f>190500-C3</f>
        <v>119953.7</v>
      </c>
      <c r="D20" s="58">
        <f>+C20*1.1</f>
        <v>131949.07</v>
      </c>
    </row>
    <row r="21" spans="1:4">
      <c r="A21" s="7" t="s">
        <v>2</v>
      </c>
      <c r="B21" s="58">
        <v>0</v>
      </c>
      <c r="C21" s="58">
        <v>0</v>
      </c>
      <c r="D21" s="58">
        <v>0</v>
      </c>
    </row>
    <row r="22" spans="1:4">
      <c r="A22" s="7" t="s">
        <v>3</v>
      </c>
      <c r="B22" s="58">
        <v>29362</v>
      </c>
      <c r="C22" s="58">
        <v>44043</v>
      </c>
      <c r="D22" s="58">
        <v>60000</v>
      </c>
    </row>
    <row r="23" spans="1:4">
      <c r="A23" s="7" t="s">
        <v>25</v>
      </c>
      <c r="B23" s="58">
        <v>382087</v>
      </c>
      <c r="C23" s="58">
        <f>402582+60000</f>
        <v>462582</v>
      </c>
      <c r="D23" s="58">
        <f>462582+(10000000/50)</f>
        <v>662582</v>
      </c>
    </row>
    <row r="24" spans="1:4">
      <c r="A24" s="7" t="s">
        <v>8</v>
      </c>
      <c r="B24" s="58"/>
      <c r="C24" s="58"/>
      <c r="D24" s="58"/>
    </row>
    <row r="25" spans="1:4">
      <c r="A25" s="7" t="s">
        <v>4</v>
      </c>
      <c r="B25" s="58">
        <v>258126</v>
      </c>
      <c r="C25" s="58">
        <f>178784+91951+89180</f>
        <v>359915</v>
      </c>
      <c r="D25" s="58">
        <f>191973+87388+84555+(8000000*0.07)</f>
        <v>923916</v>
      </c>
    </row>
    <row r="26" spans="1:4">
      <c r="A26" s="7" t="s">
        <v>9</v>
      </c>
      <c r="B26" s="58">
        <v>1260000</v>
      </c>
      <c r="C26" s="58">
        <f>36679+260000</f>
        <v>296679</v>
      </c>
      <c r="D26" s="58">
        <f>51776+135000+140000+150000</f>
        <v>476776</v>
      </c>
    </row>
    <row r="27" spans="1:4">
      <c r="A27" s="7" t="s">
        <v>10</v>
      </c>
      <c r="B27" s="58">
        <v>20495</v>
      </c>
      <c r="C27" s="58">
        <v>25000</v>
      </c>
      <c r="D27" s="58">
        <v>35000</v>
      </c>
    </row>
    <row r="28" spans="1:4">
      <c r="A28" s="7" t="s">
        <v>26</v>
      </c>
      <c r="B28" s="58">
        <f>1222119+13356+2602</f>
        <v>1238077</v>
      </c>
      <c r="C28" s="58">
        <f>531711+500000</f>
        <v>1031711</v>
      </c>
      <c r="D28" s="58">
        <f>10000000*0.2-500000</f>
        <v>1500000</v>
      </c>
    </row>
    <row r="29" spans="1:4">
      <c r="A29" s="7" t="s">
        <v>31</v>
      </c>
      <c r="B29" s="58">
        <v>341017</v>
      </c>
      <c r="C29" s="58">
        <f>779612-341017</f>
        <v>438595</v>
      </c>
      <c r="D29" s="58">
        <v>800000</v>
      </c>
    </row>
    <row r="30" spans="1:4">
      <c r="A30" s="3" t="s">
        <v>12</v>
      </c>
      <c r="B30" s="58">
        <f>SUM(B19:B29)</f>
        <v>3821668</v>
      </c>
      <c r="C30" s="58">
        <f>SUM(C19:C29)</f>
        <v>3073158.7</v>
      </c>
      <c r="D30" s="58">
        <f>SUM(D19:D29)</f>
        <v>4979371.07</v>
      </c>
    </row>
    <row r="31" spans="1:4">
      <c r="A31" s="7"/>
      <c r="B31" s="58"/>
      <c r="C31" s="58"/>
      <c r="D31" s="58"/>
    </row>
    <row r="32" spans="1:4">
      <c r="A32" s="7"/>
      <c r="B32" s="58"/>
      <c r="C32" s="58"/>
      <c r="D32" s="58"/>
    </row>
    <row r="33" spans="1:4">
      <c r="A33" s="3" t="s">
        <v>13</v>
      </c>
      <c r="B33" s="58">
        <f>B30+B15</f>
        <v>4270089</v>
      </c>
      <c r="C33" s="58">
        <f>C30+C15</f>
        <v>3540035.72</v>
      </c>
      <c r="D33" s="58">
        <f>D30+D15</f>
        <v>5029871.07</v>
      </c>
    </row>
    <row r="34" spans="1:4">
      <c r="B34" s="21"/>
      <c r="C34" s="21"/>
      <c r="D34" s="21"/>
    </row>
    <row r="35" spans="1:4">
      <c r="A35" s="2" t="s">
        <v>14</v>
      </c>
      <c r="B35" s="21">
        <v>858</v>
      </c>
      <c r="C35" s="21">
        <v>948</v>
      </c>
      <c r="D35" s="21">
        <v>975</v>
      </c>
    </row>
    <row r="36" spans="1:4">
      <c r="B36" s="21"/>
      <c r="C36" s="21"/>
      <c r="D36" s="21"/>
    </row>
    <row r="37" spans="1:4">
      <c r="A37" s="1" t="s">
        <v>28</v>
      </c>
      <c r="B37" s="21">
        <f>+B33/B35</f>
        <v>4976.7937062937062</v>
      </c>
      <c r="C37" s="21">
        <f>+C33/C35</f>
        <v>3734.2148945147683</v>
      </c>
      <c r="D37" s="21">
        <f>+D33/D35</f>
        <v>5158.8421230769236</v>
      </c>
    </row>
    <row r="38" spans="1:4">
      <c r="B38" s="21"/>
      <c r="C38" s="21"/>
      <c r="D38" s="21"/>
    </row>
    <row r="39" spans="1:4">
      <c r="A39" s="1" t="s">
        <v>15</v>
      </c>
      <c r="B39" s="21"/>
      <c r="C39" s="21"/>
      <c r="D39" s="21"/>
    </row>
    <row r="40" spans="1:4" hidden="1">
      <c r="B40" s="21"/>
      <c r="C40" s="21"/>
      <c r="D40" s="21"/>
    </row>
    <row r="41" spans="1:4" hidden="1">
      <c r="B41" s="21"/>
      <c r="C41" s="21"/>
      <c r="D41" s="21"/>
    </row>
    <row r="42" spans="1:4">
      <c r="A42" s="1" t="s">
        <v>27</v>
      </c>
      <c r="B42" s="21">
        <f>(B37*160)/(B47)</f>
        <v>14629.855246252675</v>
      </c>
      <c r="C42" s="21">
        <f>(C37*160)/(C47)</f>
        <v>9724.8719193722864</v>
      </c>
      <c r="D42" s="21">
        <f>(D37*160)/(D47)</f>
        <v>12094.125170190706</v>
      </c>
    </row>
    <row r="43" spans="1:4">
      <c r="A43" t="s">
        <v>16</v>
      </c>
      <c r="B43" s="21"/>
      <c r="C43" s="21"/>
      <c r="D43" s="21"/>
    </row>
    <row r="44" spans="1:4">
      <c r="B44" s="21"/>
      <c r="C44" s="21"/>
      <c r="D44" s="21"/>
    </row>
    <row r="45" spans="1:4">
      <c r="A45" t="s">
        <v>17</v>
      </c>
      <c r="B45" s="21">
        <v>166.67</v>
      </c>
      <c r="C45" s="21">
        <v>166.67</v>
      </c>
      <c r="D45" s="21">
        <v>166.67</v>
      </c>
    </row>
    <row r="46" spans="1:4">
      <c r="B46" s="21"/>
      <c r="C46" s="21"/>
      <c r="D46" s="21"/>
    </row>
    <row r="47" spans="1:4">
      <c r="A47" t="s">
        <v>18</v>
      </c>
      <c r="B47" s="21">
        <f>(35000+(900*13))/B35</f>
        <v>54.428904428904431</v>
      </c>
      <c r="C47" s="21">
        <f>(35000+(900*13)+11543)/C35</f>
        <v>61.437763713080166</v>
      </c>
      <c r="D47" s="21">
        <f>(35000+11543+20000)/D35</f>
        <v>68.249230769230763</v>
      </c>
    </row>
    <row r="48" spans="1:4">
      <c r="B48" s="21"/>
      <c r="C48" s="21"/>
      <c r="D48" s="21"/>
    </row>
    <row r="49" spans="1:4">
      <c r="A49" s="1" t="s">
        <v>29</v>
      </c>
      <c r="B49" s="21">
        <f>+B37/B47*B45</f>
        <v>15239.737336830833</v>
      </c>
      <c r="C49" s="21">
        <f>+C37/C47*C45</f>
        <v>10130.277517511118</v>
      </c>
      <c r="D49" s="21">
        <f>+D37/D47*D45</f>
        <v>12598.29901322303</v>
      </c>
    </row>
    <row r="50" spans="1:4">
      <c r="B50" s="21"/>
      <c r="C50" s="21"/>
      <c r="D50" s="21"/>
    </row>
    <row r="51" spans="1:4">
      <c r="A51" s="1" t="s">
        <v>30</v>
      </c>
      <c r="B51" s="21">
        <f>+B49*B35</f>
        <v>13075694.635000855</v>
      </c>
      <c r="C51" s="21">
        <f>+C49*C35</f>
        <v>9603503.0866005402</v>
      </c>
      <c r="D51" s="21">
        <f>+D49*D35</f>
        <v>12283341.537892453</v>
      </c>
    </row>
  </sheetData>
  <phoneticPr fontId="4" type="noConversion"/>
  <printOptions gridLines="1"/>
  <pageMargins left="0.25" right="0.25" top="1.25" bottom="0.5" header="0.5" footer="0.5"/>
  <pageSetup scale="97" fitToHeight="0"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F51"/>
  <sheetViews>
    <sheetView topLeftCell="A19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  <col min="6" max="6" width="31" bestFit="1" customWidth="1"/>
    <col min="7" max="7" width="12.33203125" customWidth="1"/>
    <col min="8" max="8" width="15.1640625" customWidth="1"/>
  </cols>
  <sheetData>
    <row r="1" spans="1:6" ht="24">
      <c r="A1" s="3" t="s">
        <v>0</v>
      </c>
      <c r="B1" s="4" t="s">
        <v>34</v>
      </c>
      <c r="C1" s="4" t="s">
        <v>32</v>
      </c>
      <c r="D1" s="4" t="s">
        <v>33</v>
      </c>
    </row>
    <row r="2" spans="1:6">
      <c r="A2" s="5" t="s">
        <v>19</v>
      </c>
      <c r="B2" s="37">
        <v>203163.29</v>
      </c>
      <c r="C2" s="38">
        <v>178500</v>
      </c>
      <c r="D2" s="38">
        <v>277420</v>
      </c>
    </row>
    <row r="3" spans="1:6">
      <c r="A3" s="5" t="s">
        <v>20</v>
      </c>
      <c r="B3" s="37">
        <v>396733.94</v>
      </c>
      <c r="C3" s="38">
        <v>392500</v>
      </c>
      <c r="D3" s="38">
        <v>435336.00000000006</v>
      </c>
    </row>
    <row r="4" spans="1:6">
      <c r="A4" s="5" t="s">
        <v>1</v>
      </c>
      <c r="B4" s="38">
        <v>41050</v>
      </c>
      <c r="C4" s="38">
        <v>30000</v>
      </c>
      <c r="D4" s="38">
        <v>0</v>
      </c>
    </row>
    <row r="5" spans="1:6">
      <c r="A5" s="7" t="s">
        <v>11</v>
      </c>
      <c r="B5" s="38">
        <v>65998.52</v>
      </c>
      <c r="C5" s="38">
        <v>55000</v>
      </c>
      <c r="D5" s="38">
        <v>56560</v>
      </c>
    </row>
    <row r="6" spans="1:6">
      <c r="A6" s="7" t="s">
        <v>2</v>
      </c>
      <c r="B6" s="38"/>
      <c r="C6" s="38"/>
      <c r="D6" s="38"/>
    </row>
    <row r="7" spans="1:6">
      <c r="A7" s="7" t="s">
        <v>3</v>
      </c>
      <c r="B7" s="38">
        <v>98295.3</v>
      </c>
      <c r="C7" s="38">
        <v>88580</v>
      </c>
      <c r="D7" s="38">
        <v>145110.91238095239</v>
      </c>
    </row>
    <row r="8" spans="1:6">
      <c r="A8" s="7" t="s">
        <v>22</v>
      </c>
      <c r="B8" s="38">
        <v>190338.61</v>
      </c>
      <c r="C8" s="38">
        <v>1221461.7385</v>
      </c>
      <c r="D8" s="38">
        <v>1422599.0325000002</v>
      </c>
    </row>
    <row r="9" spans="1:6">
      <c r="A9" s="7" t="s">
        <v>23</v>
      </c>
      <c r="B9" s="38"/>
      <c r="C9" s="38"/>
      <c r="D9" s="38"/>
    </row>
    <row r="10" spans="1:6">
      <c r="A10" s="7" t="s">
        <v>4</v>
      </c>
      <c r="B10" s="38"/>
      <c r="C10" s="38">
        <v>180000</v>
      </c>
      <c r="D10" s="38">
        <v>180000</v>
      </c>
    </row>
    <row r="11" spans="1:6">
      <c r="A11" s="7" t="s">
        <v>5</v>
      </c>
      <c r="B11" s="38"/>
      <c r="C11" s="38">
        <v>1000000</v>
      </c>
      <c r="D11" s="38">
        <v>1000000</v>
      </c>
    </row>
    <row r="12" spans="1:6">
      <c r="A12" s="7" t="s">
        <v>21</v>
      </c>
      <c r="B12" s="38"/>
      <c r="C12" s="38"/>
      <c r="D12" s="38"/>
    </row>
    <row r="13" spans="1:6">
      <c r="A13" s="7" t="s">
        <v>24</v>
      </c>
      <c r="B13" s="38"/>
      <c r="C13" s="38"/>
      <c r="D13" s="38"/>
    </row>
    <row r="14" spans="1:6">
      <c r="A14" s="7" t="s">
        <v>31</v>
      </c>
      <c r="B14" s="38"/>
      <c r="C14" s="38">
        <v>1000000</v>
      </c>
      <c r="D14" s="38">
        <v>1000000</v>
      </c>
      <c r="F14" s="2"/>
    </row>
    <row r="15" spans="1:6">
      <c r="A15" s="3" t="s">
        <v>6</v>
      </c>
      <c r="B15" s="38">
        <v>995579.66</v>
      </c>
      <c r="C15" s="38">
        <v>4116041.7385</v>
      </c>
      <c r="D15" s="38">
        <v>4517025.9448809531</v>
      </c>
    </row>
    <row r="16" spans="1:6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7"/>
      <c r="C19" s="7"/>
      <c r="D19" s="7"/>
    </row>
    <row r="20" spans="1:4">
      <c r="A20" s="5" t="s">
        <v>20</v>
      </c>
      <c r="B20" s="7"/>
      <c r="C20" s="7"/>
      <c r="D20" s="7"/>
    </row>
    <row r="21" spans="1:4">
      <c r="A21" s="7" t="s">
        <v>2</v>
      </c>
      <c r="B21" s="7"/>
      <c r="C21" s="7"/>
      <c r="D21" s="7"/>
    </row>
    <row r="22" spans="1:4">
      <c r="A22" s="7" t="s">
        <v>3</v>
      </c>
      <c r="B22" s="7"/>
      <c r="C22" s="7"/>
      <c r="D22" s="7"/>
    </row>
    <row r="23" spans="1:4">
      <c r="A23" s="7" t="s">
        <v>25</v>
      </c>
      <c r="B23" s="7"/>
      <c r="C23" s="7"/>
      <c r="D23" s="7"/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7"/>
      <c r="C25" s="7"/>
      <c r="D25" s="7"/>
    </row>
    <row r="26" spans="1:4">
      <c r="A26" s="7" t="s">
        <v>9</v>
      </c>
      <c r="B26" s="7"/>
      <c r="C26" s="7"/>
      <c r="D26" s="7"/>
    </row>
    <row r="27" spans="1:4">
      <c r="A27" s="7" t="s">
        <v>10</v>
      </c>
      <c r="B27" s="7"/>
      <c r="C27" s="7"/>
      <c r="D27" s="7"/>
    </row>
    <row r="28" spans="1:4">
      <c r="A28" s="7" t="s">
        <v>26</v>
      </c>
      <c r="B28" s="7"/>
      <c r="C28" s="7"/>
      <c r="D28" s="7"/>
    </row>
    <row r="29" spans="1:4">
      <c r="A29" s="7" t="s">
        <v>31</v>
      </c>
      <c r="B29" s="7"/>
      <c r="C29" s="7"/>
      <c r="D29" s="7"/>
    </row>
    <row r="30" spans="1:4">
      <c r="A30" s="3" t="s">
        <v>12</v>
      </c>
      <c r="B30" s="7">
        <f>SUM(B19:B29)</f>
        <v>0</v>
      </c>
      <c r="C30" s="7">
        <f>SUM(C19:C29)</f>
        <v>0</v>
      </c>
      <c r="D30" s="7">
        <f>SUM(D19:D29)</f>
        <v>0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39">
        <f>B30+B15</f>
        <v>995579.66</v>
      </c>
      <c r="C33" s="39">
        <f>C30+C15</f>
        <v>4116041.7385</v>
      </c>
      <c r="D33" s="39">
        <f>D30+D15</f>
        <v>4517025.9448809531</v>
      </c>
    </row>
    <row r="35" spans="1:4">
      <c r="A35" s="2" t="s">
        <v>14</v>
      </c>
      <c r="B35" s="36">
        <f>+B33/710</f>
        <v>1402.2248732394366</v>
      </c>
      <c r="C35" s="36">
        <f>+C33/742</f>
        <v>5547.2260626684638</v>
      </c>
      <c r="D35" s="36">
        <f>+D33/780</f>
        <v>5791.0589036935298</v>
      </c>
    </row>
    <row r="37" spans="1:4">
      <c r="A37" s="1" t="s">
        <v>28</v>
      </c>
      <c r="B37" s="34">
        <v>105000</v>
      </c>
      <c r="C37" s="35">
        <v>105000</v>
      </c>
      <c r="D37" s="35">
        <v>194000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  <c r="B47" s="59">
        <f>+B37/710</f>
        <v>147.88732394366198</v>
      </c>
      <c r="C47" s="59">
        <f>+C37/742</f>
        <v>141.50943396226415</v>
      </c>
      <c r="D47" s="59">
        <f>+D37/780</f>
        <v>248.71794871794873</v>
      </c>
    </row>
    <row r="49" spans="1:1">
      <c r="A49" s="1" t="s">
        <v>29</v>
      </c>
    </row>
    <row r="51" spans="1:1">
      <c r="A51" s="1" t="s">
        <v>30</v>
      </c>
    </row>
  </sheetData>
  <phoneticPr fontId="6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style="131" customWidth="1"/>
    <col min="3" max="3" width="15.33203125" style="131" customWidth="1"/>
    <col min="4" max="4" width="16.1640625" style="131" customWidth="1"/>
  </cols>
  <sheetData>
    <row r="1" spans="1:4" ht="24">
      <c r="A1" s="3" t="s">
        <v>0</v>
      </c>
      <c r="B1" s="130" t="s">
        <v>34</v>
      </c>
      <c r="C1" s="130" t="s">
        <v>32</v>
      </c>
      <c r="D1" s="130" t="s">
        <v>33</v>
      </c>
    </row>
    <row r="2" spans="1:4">
      <c r="A2" s="5" t="s">
        <v>19</v>
      </c>
      <c r="B2" s="65"/>
      <c r="C2" s="65"/>
      <c r="D2" s="65"/>
    </row>
    <row r="3" spans="1:4">
      <c r="A3" s="5" t="s">
        <v>20</v>
      </c>
      <c r="C3" s="132"/>
      <c r="D3" s="132"/>
    </row>
    <row r="4" spans="1:4">
      <c r="A4" s="5" t="s">
        <v>1</v>
      </c>
      <c r="B4" s="133"/>
      <c r="C4" s="133"/>
      <c r="D4" s="133"/>
    </row>
    <row r="5" spans="1:4">
      <c r="A5" s="7" t="s">
        <v>11</v>
      </c>
      <c r="B5" s="133"/>
      <c r="C5" s="133"/>
      <c r="D5" s="133"/>
    </row>
    <row r="6" spans="1:4">
      <c r="A6" s="7" t="s">
        <v>2</v>
      </c>
      <c r="B6" s="133"/>
      <c r="C6" s="133"/>
      <c r="D6" s="133"/>
    </row>
    <row r="7" spans="1:4">
      <c r="A7" s="7" t="s">
        <v>3</v>
      </c>
      <c r="C7" s="133"/>
      <c r="D7" s="133"/>
    </row>
    <row r="8" spans="1:4">
      <c r="A8" s="7" t="s">
        <v>22</v>
      </c>
      <c r="C8" s="133"/>
      <c r="D8" s="133"/>
    </row>
    <row r="9" spans="1:4">
      <c r="A9" s="7" t="s">
        <v>23</v>
      </c>
      <c r="B9" s="133"/>
      <c r="C9" s="133"/>
      <c r="D9" s="133"/>
    </row>
    <row r="10" spans="1:4">
      <c r="A10" s="7" t="s">
        <v>4</v>
      </c>
      <c r="B10" s="133"/>
      <c r="C10" s="133"/>
      <c r="D10" s="133"/>
    </row>
    <row r="11" spans="1:4">
      <c r="A11" s="7" t="s">
        <v>5</v>
      </c>
      <c r="B11" s="133"/>
      <c r="C11" s="133"/>
      <c r="D11" s="133"/>
    </row>
    <row r="12" spans="1:4">
      <c r="A12" s="7" t="s">
        <v>21</v>
      </c>
      <c r="B12" s="133"/>
      <c r="C12" s="133"/>
      <c r="D12" s="133"/>
    </row>
    <row r="13" spans="1:4">
      <c r="A13" s="7" t="s">
        <v>24</v>
      </c>
      <c r="B13" s="133"/>
      <c r="C13" s="133"/>
      <c r="D13" s="133"/>
    </row>
    <row r="14" spans="1:4">
      <c r="A14" s="7" t="s">
        <v>31</v>
      </c>
      <c r="B14" s="133"/>
      <c r="C14" s="133"/>
      <c r="D14" s="133"/>
    </row>
    <row r="15" spans="1:4">
      <c r="A15" s="3" t="s">
        <v>6</v>
      </c>
      <c r="B15" s="133">
        <f>SUM(B2:B14)</f>
        <v>0</v>
      </c>
      <c r="C15" s="133">
        <f>SUM(C2:C14)</f>
        <v>0</v>
      </c>
      <c r="D15" s="133">
        <f>SUM(D2:D14)</f>
        <v>0</v>
      </c>
    </row>
    <row r="16" spans="1:4">
      <c r="A16" s="7"/>
      <c r="B16" s="133"/>
      <c r="C16" s="133"/>
      <c r="D16" s="133"/>
    </row>
    <row r="17" spans="1:4">
      <c r="A17" s="7"/>
      <c r="B17" s="133"/>
      <c r="C17" s="133"/>
      <c r="D17" s="133"/>
    </row>
    <row r="18" spans="1:4">
      <c r="A18" s="3" t="s">
        <v>7</v>
      </c>
      <c r="B18" s="133"/>
      <c r="C18" s="133"/>
      <c r="D18" s="133"/>
    </row>
    <row r="19" spans="1:4">
      <c r="A19" s="5" t="s">
        <v>19</v>
      </c>
      <c r="B19" s="133">
        <v>257341.29</v>
      </c>
      <c r="C19" s="133">
        <v>237000</v>
      </c>
      <c r="D19" s="133">
        <v>240000</v>
      </c>
    </row>
    <row r="20" spans="1:4">
      <c r="A20" s="5" t="s">
        <v>20</v>
      </c>
      <c r="B20" s="65">
        <v>296787.15999999997</v>
      </c>
      <c r="C20" s="133">
        <v>312000</v>
      </c>
      <c r="D20" s="133">
        <v>362000</v>
      </c>
    </row>
    <row r="21" spans="1:4">
      <c r="A21" s="7" t="s">
        <v>2</v>
      </c>
      <c r="B21" s="133"/>
      <c r="C21" s="133"/>
      <c r="D21" s="133"/>
    </row>
    <row r="22" spans="1:4">
      <c r="A22" s="7" t="s">
        <v>3</v>
      </c>
      <c r="B22" s="133">
        <v>81310</v>
      </c>
      <c r="C22" s="133">
        <v>100000</v>
      </c>
      <c r="D22" s="133">
        <v>120000</v>
      </c>
    </row>
    <row r="23" spans="1:4">
      <c r="A23" s="7" t="s">
        <v>25</v>
      </c>
      <c r="B23" s="133">
        <v>162351.74</v>
      </c>
      <c r="C23" s="133">
        <v>461814.81</v>
      </c>
      <c r="D23" s="133">
        <f>C23</f>
        <v>461814.81</v>
      </c>
    </row>
    <row r="24" spans="1:4">
      <c r="A24" s="7" t="s">
        <v>8</v>
      </c>
      <c r="B24" s="133"/>
      <c r="C24" s="133"/>
      <c r="D24" s="133"/>
    </row>
    <row r="25" spans="1:4">
      <c r="A25" s="7" t="s">
        <v>4</v>
      </c>
      <c r="B25" s="133">
        <v>76433</v>
      </c>
      <c r="C25" s="133">
        <v>214192</v>
      </c>
      <c r="D25" s="133">
        <v>240000</v>
      </c>
    </row>
    <row r="26" spans="1:4">
      <c r="A26" s="7" t="s">
        <v>9</v>
      </c>
      <c r="B26" s="133">
        <v>107083.35</v>
      </c>
      <c r="C26" s="133">
        <v>0</v>
      </c>
      <c r="D26" s="133">
        <v>360000</v>
      </c>
    </row>
    <row r="27" spans="1:4">
      <c r="A27" s="7" t="s">
        <v>10</v>
      </c>
      <c r="B27" s="133">
        <v>33199.83</v>
      </c>
      <c r="C27" s="133">
        <v>25000</v>
      </c>
      <c r="D27" s="133">
        <v>24000</v>
      </c>
    </row>
    <row r="28" spans="1:4">
      <c r="A28" s="7" t="s">
        <v>26</v>
      </c>
      <c r="B28" s="133">
        <v>95417.86</v>
      </c>
      <c r="C28" s="133">
        <v>750000</v>
      </c>
      <c r="D28" s="133">
        <v>1200000</v>
      </c>
    </row>
    <row r="29" spans="1:4">
      <c r="A29" s="7" t="s">
        <v>31</v>
      </c>
      <c r="B29" s="133">
        <v>46452.93</v>
      </c>
      <c r="C29" s="133"/>
      <c r="D29" s="133"/>
    </row>
    <row r="30" spans="1:4">
      <c r="A30" s="3" t="s">
        <v>12</v>
      </c>
      <c r="B30" s="133">
        <f>SUM(B19:B29)</f>
        <v>1156377.1599999999</v>
      </c>
      <c r="C30" s="133">
        <f>SUM(C19:C29)</f>
        <v>2100006.81</v>
      </c>
      <c r="D30" s="133">
        <f>SUM(D19:D29)</f>
        <v>3007814.81</v>
      </c>
    </row>
    <row r="31" spans="1:4">
      <c r="A31" s="7"/>
      <c r="B31" s="133"/>
      <c r="C31" s="133"/>
      <c r="D31" s="133"/>
    </row>
    <row r="32" spans="1:4">
      <c r="A32" s="7"/>
      <c r="B32" s="133"/>
      <c r="C32" s="133"/>
      <c r="D32" s="133"/>
    </row>
    <row r="33" spans="1:4">
      <c r="A33" s="3" t="s">
        <v>13</v>
      </c>
      <c r="B33" s="133">
        <f>B30+B15</f>
        <v>1156377.1599999999</v>
      </c>
      <c r="C33" s="133">
        <f>C30+C15</f>
        <v>2100006.81</v>
      </c>
      <c r="D33" s="133">
        <f>D30+D15</f>
        <v>3007814.81</v>
      </c>
    </row>
    <row r="35" spans="1:4">
      <c r="A35" s="2" t="s">
        <v>14</v>
      </c>
      <c r="B35" s="131">
        <v>473</v>
      </c>
      <c r="C35" s="131">
        <v>469</v>
      </c>
      <c r="D35" s="131">
        <v>475</v>
      </c>
    </row>
    <row r="37" spans="1:4">
      <c r="A37" s="1" t="s">
        <v>28</v>
      </c>
      <c r="B37" s="131">
        <f>B33/B35</f>
        <v>2444.7720084566595</v>
      </c>
      <c r="C37" s="131">
        <f>C33/C35</f>
        <v>4477.6264605543711</v>
      </c>
      <c r="D37" s="131">
        <f>D33/D35</f>
        <v>6332.2417052631581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s="131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D51"/>
  <sheetViews>
    <sheetView topLeftCell="A28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style="19" customWidth="1"/>
    <col min="3" max="3" width="15.33203125" style="19" customWidth="1"/>
    <col min="4" max="4" width="16.1640625" style="19" customWidth="1"/>
  </cols>
  <sheetData>
    <row r="1" spans="1:4" ht="24">
      <c r="A1" s="3" t="s">
        <v>0</v>
      </c>
      <c r="B1" s="16" t="s">
        <v>34</v>
      </c>
      <c r="C1" s="16" t="s">
        <v>32</v>
      </c>
      <c r="D1" s="16" t="s">
        <v>33</v>
      </c>
    </row>
    <row r="2" spans="1:4">
      <c r="A2" s="5" t="s">
        <v>19</v>
      </c>
      <c r="B2" s="17"/>
      <c r="C2" s="17"/>
      <c r="D2" s="17"/>
    </row>
    <row r="3" spans="1:4">
      <c r="A3" s="5" t="s">
        <v>20</v>
      </c>
      <c r="B3" s="18">
        <f>3976.04+1570</f>
        <v>5546.04</v>
      </c>
      <c r="C3" s="18">
        <f>B3*1.03</f>
        <v>5712.4211999999998</v>
      </c>
      <c r="D3" s="18">
        <f>C3*1.03</f>
        <v>5883.7938359999998</v>
      </c>
    </row>
    <row r="4" spans="1:4">
      <c r="A4" s="5" t="s">
        <v>1</v>
      </c>
      <c r="B4" s="18">
        <f>16348.05*12</f>
        <v>196176.59999999998</v>
      </c>
      <c r="C4" s="18">
        <f>B4*1.035</f>
        <v>203042.78099999996</v>
      </c>
      <c r="D4" s="18">
        <f>C4*1.035</f>
        <v>210149.27833499995</v>
      </c>
    </row>
    <row r="5" spans="1:4">
      <c r="A5" s="7" t="s">
        <v>11</v>
      </c>
      <c r="B5" s="18">
        <v>51493.38</v>
      </c>
      <c r="C5" s="18">
        <f>B5*1.03</f>
        <v>53038.181400000001</v>
      </c>
      <c r="D5" s="18">
        <f>C5*1.03</f>
        <v>54629.326842000002</v>
      </c>
    </row>
    <row r="6" spans="1:4">
      <c r="A6" s="7" t="s">
        <v>2</v>
      </c>
      <c r="B6" s="18"/>
      <c r="C6" s="18"/>
      <c r="D6" s="18"/>
    </row>
    <row r="7" spans="1:4">
      <c r="A7" s="7" t="s">
        <v>3</v>
      </c>
      <c r="B7" s="18">
        <f>5966+4500</f>
        <v>10466</v>
      </c>
      <c r="C7" s="18">
        <f>B7*1.03</f>
        <v>10779.98</v>
      </c>
      <c r="D7" s="18">
        <f>C7*1.03</f>
        <v>11103.3794</v>
      </c>
    </row>
    <row r="8" spans="1:4">
      <c r="A8" s="7" t="s">
        <v>22</v>
      </c>
      <c r="B8" s="18">
        <v>57379.05</v>
      </c>
      <c r="C8" s="18">
        <f>B8*1.03</f>
        <v>59100.421500000004</v>
      </c>
      <c r="D8" s="18">
        <f>C8*1.03</f>
        <v>60873.434145000007</v>
      </c>
    </row>
    <row r="9" spans="1:4">
      <c r="A9" s="7" t="s">
        <v>23</v>
      </c>
      <c r="B9" s="18"/>
      <c r="C9" s="18"/>
      <c r="D9" s="18"/>
    </row>
    <row r="10" spans="1:4">
      <c r="A10" s="7" t="s">
        <v>4</v>
      </c>
      <c r="B10" s="18">
        <v>3999.3</v>
      </c>
      <c r="C10" s="18">
        <v>1424.14</v>
      </c>
      <c r="D10" s="18"/>
    </row>
    <row r="11" spans="1:4">
      <c r="A11" s="7" t="s">
        <v>5</v>
      </c>
      <c r="B11" s="18">
        <f>7388.68*12-B10</f>
        <v>84664.86</v>
      </c>
      <c r="C11" s="18">
        <f>7388.68*12-C10</f>
        <v>87240.02</v>
      </c>
      <c r="D11" s="18">
        <f>7388.68</f>
        <v>7388.68</v>
      </c>
    </row>
    <row r="12" spans="1:4">
      <c r="A12" s="7" t="s">
        <v>21</v>
      </c>
      <c r="B12" s="18">
        <v>4183.92</v>
      </c>
      <c r="C12" s="18">
        <v>4183.92</v>
      </c>
      <c r="D12" s="18">
        <v>267.76</v>
      </c>
    </row>
    <row r="13" spans="1:4">
      <c r="A13" s="7" t="s">
        <v>24</v>
      </c>
      <c r="B13" s="18"/>
      <c r="C13" s="18"/>
      <c r="D13" s="18"/>
    </row>
    <row r="14" spans="1:4">
      <c r="A14" s="7" t="s">
        <v>31</v>
      </c>
      <c r="B14" s="18"/>
      <c r="C14" s="18"/>
      <c r="D14" s="18"/>
    </row>
    <row r="15" spans="1:4">
      <c r="A15" s="3" t="s">
        <v>6</v>
      </c>
      <c r="B15" s="18">
        <f>SUM(B2:B14)</f>
        <v>413909.14999999997</v>
      </c>
      <c r="C15" s="18">
        <f>SUM(C2:C14)</f>
        <v>424521.8651</v>
      </c>
      <c r="D15" s="18">
        <f>SUM(D2:D14)</f>
        <v>350295.65255799994</v>
      </c>
    </row>
    <row r="16" spans="1:4">
      <c r="A16" s="7"/>
      <c r="B16" s="18"/>
      <c r="C16" s="18"/>
      <c r="D16" s="18"/>
    </row>
    <row r="17" spans="1:4">
      <c r="A17" s="7"/>
      <c r="B17" s="18"/>
      <c r="C17" s="18"/>
      <c r="D17" s="18"/>
    </row>
    <row r="18" spans="1:4">
      <c r="A18" s="3" t="s">
        <v>7</v>
      </c>
      <c r="B18" s="18"/>
      <c r="C18" s="18"/>
      <c r="D18" s="18"/>
    </row>
    <row r="19" spans="1:4">
      <c r="A19" s="5" t="s">
        <v>19</v>
      </c>
      <c r="B19" s="18"/>
      <c r="C19" s="18"/>
      <c r="D19" s="18"/>
    </row>
    <row r="20" spans="1:4">
      <c r="A20" s="5" t="s">
        <v>20</v>
      </c>
      <c r="B20" s="18"/>
      <c r="C20" s="18"/>
      <c r="D20" s="18"/>
    </row>
    <row r="21" spans="1:4">
      <c r="A21" s="7" t="s">
        <v>2</v>
      </c>
      <c r="B21" s="18"/>
      <c r="C21" s="18"/>
      <c r="D21" s="18"/>
    </row>
    <row r="22" spans="1:4">
      <c r="A22" s="7" t="s">
        <v>3</v>
      </c>
      <c r="B22" s="18"/>
      <c r="C22" s="18"/>
      <c r="D22" s="18"/>
    </row>
    <row r="23" spans="1:4">
      <c r="A23" s="7" t="s">
        <v>25</v>
      </c>
      <c r="B23" s="18"/>
      <c r="C23" s="18"/>
      <c r="D23" s="18"/>
    </row>
    <row r="24" spans="1:4">
      <c r="A24" s="7" t="s">
        <v>8</v>
      </c>
      <c r="B24" s="18"/>
      <c r="C24" s="18"/>
      <c r="D24" s="18"/>
    </row>
    <row r="25" spans="1:4">
      <c r="A25" s="7" t="s">
        <v>4</v>
      </c>
      <c r="B25" s="18"/>
      <c r="C25" s="18"/>
      <c r="D25" s="18"/>
    </row>
    <row r="26" spans="1:4">
      <c r="A26" s="7" t="s">
        <v>9</v>
      </c>
      <c r="B26" s="18"/>
      <c r="C26" s="18"/>
      <c r="D26" s="18"/>
    </row>
    <row r="27" spans="1:4">
      <c r="A27" s="7" t="s">
        <v>10</v>
      </c>
      <c r="B27" s="18"/>
      <c r="C27" s="18"/>
      <c r="D27" s="18"/>
    </row>
    <row r="28" spans="1:4">
      <c r="A28" s="7" t="s">
        <v>26</v>
      </c>
      <c r="B28" s="18"/>
      <c r="C28" s="18"/>
      <c r="D28" s="18"/>
    </row>
    <row r="29" spans="1:4">
      <c r="A29" s="7" t="s">
        <v>31</v>
      </c>
      <c r="B29" s="18"/>
      <c r="C29" s="18"/>
      <c r="D29" s="18"/>
    </row>
    <row r="30" spans="1:4">
      <c r="A30" s="3" t="s">
        <v>12</v>
      </c>
      <c r="B30" s="18">
        <f>SUM(B19:B29)</f>
        <v>0</v>
      </c>
      <c r="C30" s="18">
        <f>SUM(C19:C29)</f>
        <v>0</v>
      </c>
      <c r="D30" s="18">
        <f>SUM(D19:D29)</f>
        <v>0</v>
      </c>
    </row>
    <row r="31" spans="1:4">
      <c r="A31" s="7"/>
      <c r="B31" s="18"/>
      <c r="C31" s="18"/>
      <c r="D31" s="18"/>
    </row>
    <row r="32" spans="1:4">
      <c r="A32" s="7"/>
      <c r="B32" s="18"/>
      <c r="C32" s="18"/>
      <c r="D32" s="18"/>
    </row>
    <row r="33" spans="1:4">
      <c r="A33" s="3" t="s">
        <v>13</v>
      </c>
      <c r="B33" s="18">
        <f>B30+B15</f>
        <v>413909.14999999997</v>
      </c>
      <c r="C33" s="18">
        <f>C30+C15</f>
        <v>424521.8651</v>
      </c>
      <c r="D33" s="18">
        <f>D30+D15</f>
        <v>350295.65255799994</v>
      </c>
    </row>
    <row r="35" spans="1:4">
      <c r="A35" s="2" t="s">
        <v>14</v>
      </c>
      <c r="B35" s="19">
        <v>76</v>
      </c>
      <c r="C35" s="19">
        <v>85</v>
      </c>
      <c r="D35" s="19">
        <v>85</v>
      </c>
    </row>
    <row r="37" spans="1:4">
      <c r="A37" s="1" t="s">
        <v>28</v>
      </c>
      <c r="B37" s="19">
        <f>ROUND(B33/B35,2)</f>
        <v>5446.17</v>
      </c>
      <c r="C37" s="19">
        <f>ROUND(C33/C35,2)</f>
        <v>4994.37</v>
      </c>
      <c r="D37" s="19">
        <f>ROUND(D33/D35,2)</f>
        <v>4121.13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s="19">
        <v>190</v>
      </c>
      <c r="C42" s="19">
        <v>190</v>
      </c>
      <c r="D42" s="19">
        <v>190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  <c r="B47" s="19">
        <f>9830/B35</f>
        <v>129.34210526315789</v>
      </c>
      <c r="C47" s="19">
        <f>9830/C35</f>
        <v>115.64705882352941</v>
      </c>
      <c r="D47" s="19">
        <f>9830/D35</f>
        <v>115.64705882352941</v>
      </c>
    </row>
    <row r="49" spans="1:4">
      <c r="A49" s="1" t="s">
        <v>29</v>
      </c>
      <c r="B49" s="19">
        <f>B37*B42/B47</f>
        <v>8000.2741403865721</v>
      </c>
      <c r="C49" s="19">
        <f>C37*C42/C47</f>
        <v>8205.3993387589016</v>
      </c>
      <c r="D49" s="19">
        <f>D37*D42/D47</f>
        <v>6770.727314343846</v>
      </c>
    </row>
    <row r="51" spans="1:4">
      <c r="A51" s="1" t="s">
        <v>30</v>
      </c>
      <c r="B51" s="19">
        <f>B49*B35</f>
        <v>608020.83466937952</v>
      </c>
      <c r="C51" s="19">
        <f>C49*C35</f>
        <v>697458.9437945066</v>
      </c>
      <c r="D51" s="19">
        <f>D49*D35</f>
        <v>575511.82171922689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style="131" customWidth="1"/>
    <col min="3" max="3" width="15.33203125" style="131" customWidth="1"/>
    <col min="4" max="4" width="16.1640625" style="131" customWidth="1"/>
  </cols>
  <sheetData>
    <row r="1" spans="1:4" ht="24">
      <c r="A1" s="3" t="s">
        <v>0</v>
      </c>
      <c r="B1" s="130" t="s">
        <v>34</v>
      </c>
      <c r="C1" s="130" t="s">
        <v>32</v>
      </c>
      <c r="D1" s="130" t="s">
        <v>33</v>
      </c>
    </row>
    <row r="2" spans="1:4">
      <c r="A2" s="5" t="s">
        <v>19</v>
      </c>
      <c r="B2" s="65">
        <v>44844</v>
      </c>
      <c r="C2" s="65">
        <v>44844</v>
      </c>
      <c r="D2" s="65">
        <v>49328</v>
      </c>
    </row>
    <row r="3" spans="1:4">
      <c r="A3" s="5" t="s">
        <v>20</v>
      </c>
      <c r="C3" s="132"/>
      <c r="D3" s="132"/>
    </row>
    <row r="4" spans="1:4">
      <c r="A4" s="5" t="s">
        <v>1</v>
      </c>
      <c r="B4" s="133">
        <v>154548</v>
      </c>
      <c r="C4" s="133">
        <v>154548</v>
      </c>
      <c r="D4" s="133">
        <v>170003</v>
      </c>
    </row>
    <row r="5" spans="1:4">
      <c r="A5" s="7" t="s">
        <v>11</v>
      </c>
      <c r="B5" s="133">
        <v>0</v>
      </c>
      <c r="C5" s="133"/>
      <c r="D5" s="133"/>
    </row>
    <row r="6" spans="1:4">
      <c r="A6" s="7" t="s">
        <v>2</v>
      </c>
      <c r="B6" s="133">
        <v>0</v>
      </c>
      <c r="C6" s="133"/>
      <c r="D6" s="133"/>
    </row>
    <row r="7" spans="1:4">
      <c r="A7" s="7" t="s">
        <v>3</v>
      </c>
      <c r="C7" s="133"/>
      <c r="D7" s="133"/>
    </row>
    <row r="8" spans="1:4">
      <c r="A8" s="7" t="s">
        <v>22</v>
      </c>
      <c r="C8" s="133"/>
      <c r="D8" s="133"/>
    </row>
    <row r="9" spans="1:4">
      <c r="A9" s="7" t="s">
        <v>23</v>
      </c>
      <c r="B9" s="133"/>
      <c r="C9" s="133"/>
      <c r="D9" s="133"/>
    </row>
    <row r="10" spans="1:4">
      <c r="A10" s="7" t="s">
        <v>4</v>
      </c>
      <c r="B10" s="133"/>
      <c r="C10" s="133"/>
      <c r="D10" s="133"/>
    </row>
    <row r="11" spans="1:4">
      <c r="A11" s="7" t="s">
        <v>5</v>
      </c>
      <c r="B11" s="133"/>
      <c r="C11" s="133"/>
      <c r="D11" s="133"/>
    </row>
    <row r="12" spans="1:4">
      <c r="A12" s="7" t="s">
        <v>21</v>
      </c>
      <c r="B12" s="133"/>
      <c r="C12" s="133"/>
      <c r="D12" s="133"/>
    </row>
    <row r="13" spans="1:4">
      <c r="A13" s="7" t="s">
        <v>24</v>
      </c>
      <c r="B13" s="133"/>
      <c r="C13" s="133"/>
      <c r="D13" s="133"/>
    </row>
    <row r="14" spans="1:4">
      <c r="A14" s="7" t="s">
        <v>31</v>
      </c>
      <c r="B14" s="133"/>
      <c r="C14" s="133"/>
      <c r="D14" s="133"/>
    </row>
    <row r="15" spans="1:4">
      <c r="A15" s="3" t="s">
        <v>6</v>
      </c>
      <c r="B15" s="133">
        <f>SUM(B2:B14)</f>
        <v>199392</v>
      </c>
      <c r="C15" s="133">
        <f>SUM(C2:C14)</f>
        <v>199392</v>
      </c>
      <c r="D15" s="133">
        <f>SUM(D2:D14)</f>
        <v>219331</v>
      </c>
    </row>
    <row r="16" spans="1:4">
      <c r="A16" s="7"/>
      <c r="B16" s="133"/>
      <c r="C16" s="133"/>
      <c r="D16" s="133"/>
    </row>
    <row r="17" spans="1:4">
      <c r="A17" s="7"/>
      <c r="B17" s="133"/>
      <c r="C17" s="133"/>
      <c r="D17" s="133"/>
    </row>
    <row r="18" spans="1:4">
      <c r="A18" s="3" t="s">
        <v>7</v>
      </c>
      <c r="B18" s="133"/>
      <c r="C18" s="133"/>
      <c r="D18" s="133"/>
    </row>
    <row r="19" spans="1:4">
      <c r="A19" s="5" t="s">
        <v>19</v>
      </c>
      <c r="B19" s="133">
        <v>193453</v>
      </c>
      <c r="C19" s="133">
        <v>160544</v>
      </c>
      <c r="D19" s="133">
        <v>203126</v>
      </c>
    </row>
    <row r="20" spans="1:4">
      <c r="A20" s="5" t="s">
        <v>20</v>
      </c>
      <c r="B20" s="65">
        <v>15522</v>
      </c>
      <c r="C20" s="133">
        <v>20325</v>
      </c>
      <c r="D20" s="133">
        <v>20325</v>
      </c>
    </row>
    <row r="21" spans="1:4">
      <c r="A21" s="7" t="s">
        <v>2</v>
      </c>
      <c r="B21" s="133"/>
      <c r="C21" s="133"/>
      <c r="D21" s="133"/>
    </row>
    <row r="22" spans="1:4">
      <c r="A22" s="7" t="s">
        <v>3</v>
      </c>
      <c r="B22" s="133">
        <v>65716</v>
      </c>
      <c r="C22" s="133">
        <v>99156</v>
      </c>
      <c r="D22" s="133">
        <v>104114</v>
      </c>
    </row>
    <row r="23" spans="1:4">
      <c r="A23" s="7" t="s">
        <v>25</v>
      </c>
      <c r="B23" s="133">
        <v>188087.45</v>
      </c>
      <c r="C23" s="133">
        <v>193730</v>
      </c>
      <c r="D23" s="133">
        <v>199542</v>
      </c>
    </row>
    <row r="24" spans="1:4">
      <c r="A24" s="7" t="s">
        <v>8</v>
      </c>
      <c r="B24" s="133"/>
      <c r="C24" s="133"/>
      <c r="D24" s="133"/>
    </row>
    <row r="25" spans="1:4">
      <c r="A25" s="7" t="s">
        <v>4</v>
      </c>
      <c r="B25" s="133">
        <v>524454</v>
      </c>
      <c r="C25" s="133">
        <v>524454</v>
      </c>
      <c r="D25" s="133">
        <v>524454</v>
      </c>
    </row>
    <row r="26" spans="1:4">
      <c r="A26" s="7" t="s">
        <v>9</v>
      </c>
      <c r="B26" s="133">
        <v>122136.98</v>
      </c>
      <c r="C26" s="133">
        <v>160338</v>
      </c>
      <c r="D26" s="133">
        <v>160338</v>
      </c>
    </row>
    <row r="27" spans="1:4">
      <c r="A27" s="7" t="s">
        <v>10</v>
      </c>
      <c r="B27" s="133"/>
      <c r="C27" s="133"/>
      <c r="D27" s="133"/>
    </row>
    <row r="28" spans="1:4">
      <c r="A28" s="7" t="s">
        <v>26</v>
      </c>
      <c r="B28" s="133">
        <v>102472</v>
      </c>
      <c r="C28" s="133">
        <v>20000</v>
      </c>
      <c r="D28" s="133">
        <v>20000</v>
      </c>
    </row>
    <row r="29" spans="1:4">
      <c r="A29" s="7" t="s">
        <v>31</v>
      </c>
      <c r="B29" s="133"/>
      <c r="C29" s="133"/>
      <c r="D29" s="133"/>
    </row>
    <row r="30" spans="1:4">
      <c r="A30" s="3" t="s">
        <v>12</v>
      </c>
      <c r="B30" s="133">
        <f>SUM(B19:B29)</f>
        <v>1211841.43</v>
      </c>
      <c r="C30" s="133">
        <f>SUM(C19:C29)</f>
        <v>1178547</v>
      </c>
      <c r="D30" s="133">
        <f>SUM(D19:D29)</f>
        <v>1231899</v>
      </c>
    </row>
    <row r="31" spans="1:4">
      <c r="A31" s="7"/>
      <c r="B31" s="133"/>
      <c r="C31" s="133"/>
      <c r="D31" s="133"/>
    </row>
    <row r="32" spans="1:4">
      <c r="A32" s="7"/>
      <c r="B32" s="133"/>
      <c r="C32" s="133"/>
      <c r="D32" s="133"/>
    </row>
    <row r="33" spans="1:4">
      <c r="A33" s="3" t="s">
        <v>13</v>
      </c>
      <c r="B33" s="133">
        <f>B30+B15</f>
        <v>1411233.43</v>
      </c>
      <c r="C33" s="133">
        <f>C30+C15</f>
        <v>1377939</v>
      </c>
      <c r="D33" s="133">
        <f>D30+D15</f>
        <v>1451230</v>
      </c>
    </row>
    <row r="35" spans="1:4">
      <c r="A35" s="2" t="s">
        <v>14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s="131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77">
        <v>57796</v>
      </c>
      <c r="C2" s="77">
        <v>60000</v>
      </c>
      <c r="D2" s="77">
        <v>62000</v>
      </c>
    </row>
    <row r="3" spans="1:4">
      <c r="A3" s="5" t="s">
        <v>20</v>
      </c>
      <c r="B3" s="77">
        <v>93920</v>
      </c>
      <c r="C3" s="77">
        <v>110000</v>
      </c>
      <c r="D3" s="77">
        <v>120000</v>
      </c>
    </row>
    <row r="4" spans="1:4">
      <c r="A4" s="5" t="s">
        <v>1</v>
      </c>
      <c r="B4" s="7">
        <v>125754</v>
      </c>
      <c r="C4" s="7">
        <v>150000</v>
      </c>
      <c r="D4" s="7">
        <v>160000</v>
      </c>
    </row>
    <row r="5" spans="1:4">
      <c r="A5" s="7" t="s">
        <v>11</v>
      </c>
      <c r="B5" s="7"/>
      <c r="C5" s="7"/>
      <c r="D5" s="7"/>
    </row>
    <row r="6" spans="1:4">
      <c r="A6" s="7" t="s">
        <v>2</v>
      </c>
      <c r="B6" s="7"/>
      <c r="C6" s="7"/>
      <c r="D6" s="7"/>
    </row>
    <row r="7" spans="1:4">
      <c r="A7" s="7" t="s">
        <v>3</v>
      </c>
      <c r="B7" s="7">
        <v>6770</v>
      </c>
      <c r="C7" s="7">
        <v>9500</v>
      </c>
      <c r="D7" s="7">
        <v>10000</v>
      </c>
    </row>
    <row r="8" spans="1:4">
      <c r="A8" s="7" t="s">
        <v>22</v>
      </c>
      <c r="B8" s="7"/>
      <c r="C8" s="7"/>
      <c r="D8" s="7"/>
    </row>
    <row r="9" spans="1:4">
      <c r="A9" s="7" t="s">
        <v>23</v>
      </c>
      <c r="B9" s="7"/>
      <c r="C9" s="7"/>
      <c r="D9" s="7"/>
    </row>
    <row r="10" spans="1:4">
      <c r="A10" s="7" t="s">
        <v>4</v>
      </c>
      <c r="B10" s="7"/>
      <c r="C10" s="7"/>
      <c r="D10" s="7"/>
    </row>
    <row r="11" spans="1:4">
      <c r="A11" s="7" t="s">
        <v>5</v>
      </c>
      <c r="B11" s="7"/>
      <c r="C11" s="7"/>
      <c r="D11" s="7"/>
    </row>
    <row r="12" spans="1:4">
      <c r="A12" s="7" t="s">
        <v>21</v>
      </c>
      <c r="B12" s="7"/>
      <c r="C12" s="7"/>
      <c r="D12" s="7"/>
    </row>
    <row r="13" spans="1:4">
      <c r="A13" s="7" t="s">
        <v>24</v>
      </c>
      <c r="B13" s="7">
        <v>62903</v>
      </c>
      <c r="C13" s="7">
        <v>125000</v>
      </c>
      <c r="D13" s="7">
        <v>75000</v>
      </c>
    </row>
    <row r="14" spans="1:4">
      <c r="A14" s="7" t="s">
        <v>31</v>
      </c>
      <c r="B14" s="7"/>
      <c r="C14" s="7"/>
      <c r="D14" s="7"/>
    </row>
    <row r="15" spans="1:4">
      <c r="A15" s="3" t="s">
        <v>6</v>
      </c>
      <c r="B15" s="7">
        <f>SUM(B2:B14)</f>
        <v>347143</v>
      </c>
      <c r="C15" s="7">
        <f>SUM(C2:C14)</f>
        <v>454500</v>
      </c>
      <c r="D15" s="7">
        <f>SUM(D2:D14)</f>
        <v>427000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7"/>
      <c r="C19" s="7"/>
      <c r="D19" s="7"/>
    </row>
    <row r="20" spans="1:4">
      <c r="A20" s="5" t="s">
        <v>20</v>
      </c>
      <c r="B20" s="7"/>
      <c r="C20" s="7"/>
      <c r="D20" s="7"/>
    </row>
    <row r="21" spans="1:4">
      <c r="A21" s="7" t="s">
        <v>2</v>
      </c>
      <c r="B21" s="7"/>
      <c r="C21" s="7"/>
      <c r="D21" s="7"/>
    </row>
    <row r="22" spans="1:4">
      <c r="A22" s="7" t="s">
        <v>3</v>
      </c>
      <c r="B22" s="7"/>
      <c r="C22" s="7"/>
      <c r="D22" s="7"/>
    </row>
    <row r="23" spans="1:4">
      <c r="A23" s="7" t="s">
        <v>25</v>
      </c>
      <c r="B23" s="7"/>
      <c r="C23" s="7"/>
      <c r="D23" s="7"/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7"/>
      <c r="C25" s="7"/>
      <c r="D25" s="7"/>
    </row>
    <row r="26" spans="1:4">
      <c r="A26" s="7" t="s">
        <v>9</v>
      </c>
      <c r="B26" s="7"/>
      <c r="C26" s="7"/>
      <c r="D26" s="7"/>
    </row>
    <row r="27" spans="1:4">
      <c r="A27" s="7" t="s">
        <v>10</v>
      </c>
      <c r="B27" s="7"/>
      <c r="C27" s="7"/>
      <c r="D27" s="7"/>
    </row>
    <row r="28" spans="1:4">
      <c r="A28" s="7" t="s">
        <v>26</v>
      </c>
      <c r="B28" s="7"/>
      <c r="C28" s="7"/>
      <c r="D28" s="7"/>
    </row>
    <row r="29" spans="1:4">
      <c r="A29" s="7" t="s">
        <v>31</v>
      </c>
      <c r="B29" s="7"/>
      <c r="C29" s="7"/>
      <c r="D29" s="7"/>
    </row>
    <row r="30" spans="1:4">
      <c r="A30" s="3" t="s">
        <v>12</v>
      </c>
      <c r="B30" s="7">
        <f>SUM(B19:B29)</f>
        <v>0</v>
      </c>
      <c r="C30" s="7">
        <f>SUM(C19:C29)</f>
        <v>0</v>
      </c>
      <c r="D30" s="7">
        <f>SUM(D19:D29)</f>
        <v>0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7">
        <f>B30+B15</f>
        <v>347143</v>
      </c>
      <c r="C33" s="7">
        <f>C30+C15</f>
        <v>454500</v>
      </c>
      <c r="D33" s="7">
        <f>D30+D15</f>
        <v>427000</v>
      </c>
    </row>
    <row r="35" spans="1:4">
      <c r="A35" s="2" t="s">
        <v>14</v>
      </c>
      <c r="B35" t="s">
        <v>35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0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1:F51"/>
  <sheetViews>
    <sheetView workbookViewId="0">
      <pane xSplit="1" ySplit="1" topLeftCell="B5" activePane="bottomRight" state="frozen"/>
      <selection activeCell="B28" sqref="B28"/>
      <selection pane="topRight" activeCell="B28" sqref="B28"/>
      <selection pane="bottomLeft" activeCell="B28" sqref="B28"/>
      <selection pane="bottomRight" activeCell="B28" sqref="B28"/>
    </sheetView>
  </sheetViews>
  <sheetFormatPr baseColWidth="10" defaultColWidth="8.83203125" defaultRowHeight="12" x14ac:dyDescent="0"/>
  <cols>
    <col min="1" max="1" width="50.33203125" customWidth="1"/>
    <col min="2" max="2" width="13.5" customWidth="1"/>
    <col min="3" max="3" width="13.6640625" customWidth="1"/>
    <col min="4" max="4" width="14" customWidth="1"/>
    <col min="5" max="5" width="2.6640625" customWidth="1"/>
    <col min="6" max="6" width="20.1640625" bestFit="1" customWidth="1"/>
  </cols>
  <sheetData>
    <row r="1" spans="1:4" ht="24">
      <c r="A1" s="3" t="s">
        <v>0</v>
      </c>
      <c r="B1" s="4" t="s">
        <v>47</v>
      </c>
      <c r="C1" s="4" t="s">
        <v>32</v>
      </c>
      <c r="D1" s="4" t="s">
        <v>33</v>
      </c>
    </row>
    <row r="2" spans="1:4">
      <c r="A2" s="5" t="s">
        <v>19</v>
      </c>
      <c r="B2" s="62">
        <v>289826</v>
      </c>
      <c r="C2" s="62">
        <v>850986</v>
      </c>
      <c r="D2" s="62">
        <v>938516</v>
      </c>
    </row>
    <row r="3" spans="1:4">
      <c r="A3" s="5" t="s">
        <v>20</v>
      </c>
      <c r="B3" s="62">
        <v>427536.54</v>
      </c>
      <c r="C3" s="62">
        <v>89132</v>
      </c>
      <c r="D3" s="62">
        <v>95806</v>
      </c>
    </row>
    <row r="4" spans="1:4">
      <c r="A4" s="5" t="s">
        <v>1</v>
      </c>
      <c r="B4" s="62">
        <v>508432.11</v>
      </c>
      <c r="C4" s="62">
        <v>794993</v>
      </c>
      <c r="D4" s="62">
        <v>1404684</v>
      </c>
    </row>
    <row r="5" spans="1:4">
      <c r="A5" s="7" t="s">
        <v>11</v>
      </c>
      <c r="B5" s="62">
        <v>0</v>
      </c>
      <c r="C5" s="62">
        <v>0</v>
      </c>
      <c r="D5" s="62">
        <v>0</v>
      </c>
    </row>
    <row r="6" spans="1:4">
      <c r="A6" s="7" t="s">
        <v>2</v>
      </c>
      <c r="B6" s="62">
        <v>0</v>
      </c>
      <c r="C6" s="62">
        <v>0</v>
      </c>
      <c r="D6" s="62">
        <v>0</v>
      </c>
    </row>
    <row r="7" spans="1:4">
      <c r="A7" s="7" t="s">
        <v>3</v>
      </c>
      <c r="B7" s="62">
        <v>30000</v>
      </c>
      <c r="C7" s="62">
        <v>97000</v>
      </c>
      <c r="D7" s="62">
        <v>121400</v>
      </c>
    </row>
    <row r="8" spans="1:4">
      <c r="A8" s="7" t="s">
        <v>22</v>
      </c>
      <c r="B8" s="62">
        <v>140197.76000000001</v>
      </c>
      <c r="C8" s="62">
        <v>841758</v>
      </c>
      <c r="D8" s="62">
        <v>1290249</v>
      </c>
    </row>
    <row r="9" spans="1:4">
      <c r="A9" s="7" t="s">
        <v>23</v>
      </c>
      <c r="B9" s="62">
        <v>0</v>
      </c>
      <c r="C9" s="62">
        <v>0</v>
      </c>
      <c r="D9" s="62">
        <v>0</v>
      </c>
    </row>
    <row r="10" spans="1:4">
      <c r="A10" s="7" t="s">
        <v>4</v>
      </c>
      <c r="B10" s="62">
        <v>4051.34</v>
      </c>
      <c r="C10" s="62">
        <v>1175739</v>
      </c>
      <c r="D10" s="62">
        <v>1277572</v>
      </c>
    </row>
    <row r="11" spans="1:4">
      <c r="A11" s="7" t="s">
        <v>5</v>
      </c>
      <c r="B11" s="62">
        <v>0</v>
      </c>
      <c r="C11" s="62">
        <v>0</v>
      </c>
      <c r="D11" s="62">
        <v>0</v>
      </c>
    </row>
    <row r="12" spans="1:4">
      <c r="A12" s="7" t="s">
        <v>21</v>
      </c>
      <c r="B12" s="62">
        <v>0</v>
      </c>
      <c r="C12" s="62">
        <v>83375</v>
      </c>
      <c r="D12" s="62">
        <v>83375</v>
      </c>
    </row>
    <row r="13" spans="1:4">
      <c r="A13" s="7" t="s">
        <v>24</v>
      </c>
      <c r="B13" s="62">
        <v>2500000</v>
      </c>
      <c r="C13" s="62">
        <v>1513500</v>
      </c>
      <c r="D13" s="62">
        <v>1264000</v>
      </c>
    </row>
    <row r="14" spans="1:4">
      <c r="A14" s="7" t="s">
        <v>31</v>
      </c>
      <c r="B14" s="62">
        <v>0</v>
      </c>
      <c r="C14" s="62">
        <v>0</v>
      </c>
      <c r="D14" s="62">
        <v>0</v>
      </c>
    </row>
    <row r="15" spans="1:4">
      <c r="A15" s="3" t="s">
        <v>6</v>
      </c>
      <c r="B15" s="78">
        <f>SUM(B2:B14)</f>
        <v>3900043.75</v>
      </c>
      <c r="C15" s="78">
        <f>SUM(C2:C14)</f>
        <v>5446483</v>
      </c>
      <c r="D15" s="78">
        <f>SUM(D2:D14)</f>
        <v>6475602</v>
      </c>
    </row>
    <row r="16" spans="1:4">
      <c r="A16" s="7"/>
      <c r="B16" s="11"/>
      <c r="C16" s="11"/>
      <c r="D16" s="11"/>
    </row>
    <row r="17" spans="1:4">
      <c r="A17" s="7"/>
      <c r="B17" s="11"/>
      <c r="C17" s="11"/>
      <c r="D17" s="11"/>
    </row>
    <row r="18" spans="1:4">
      <c r="A18" s="3" t="s">
        <v>7</v>
      </c>
      <c r="B18" s="11"/>
      <c r="C18" s="11"/>
      <c r="D18" s="11"/>
    </row>
    <row r="19" spans="1:4">
      <c r="A19" s="5" t="s">
        <v>19</v>
      </c>
      <c r="B19" s="62">
        <v>279724</v>
      </c>
      <c r="C19" s="62">
        <v>523329</v>
      </c>
      <c r="D19" s="62">
        <v>539028</v>
      </c>
    </row>
    <row r="20" spans="1:4">
      <c r="A20" s="5" t="s">
        <v>20</v>
      </c>
      <c r="B20" s="62">
        <v>31673</v>
      </c>
      <c r="C20" s="62">
        <v>34889</v>
      </c>
      <c r="D20" s="62">
        <v>35935</v>
      </c>
    </row>
    <row r="21" spans="1:4">
      <c r="A21" s="7" t="s">
        <v>2</v>
      </c>
      <c r="B21" s="62">
        <v>0</v>
      </c>
      <c r="C21" s="62">
        <v>0</v>
      </c>
      <c r="D21" s="62">
        <v>0</v>
      </c>
    </row>
    <row r="22" spans="1:4">
      <c r="A22" s="7" t="s">
        <v>3</v>
      </c>
      <c r="B22" s="62">
        <v>40000</v>
      </c>
      <c r="C22" s="62">
        <v>65000</v>
      </c>
      <c r="D22" s="62">
        <v>66950</v>
      </c>
    </row>
    <row r="23" spans="1:4">
      <c r="A23" s="7" t="s">
        <v>25</v>
      </c>
      <c r="B23" s="62">
        <v>417381</v>
      </c>
      <c r="C23" s="62">
        <v>1115052</v>
      </c>
      <c r="D23" s="62">
        <v>1115052</v>
      </c>
    </row>
    <row r="24" spans="1:4">
      <c r="A24" s="7" t="s">
        <v>8</v>
      </c>
      <c r="B24" s="62">
        <v>0</v>
      </c>
      <c r="C24" s="62">
        <v>0</v>
      </c>
      <c r="D24" s="62">
        <v>0</v>
      </c>
    </row>
    <row r="25" spans="1:4">
      <c r="A25" s="7" t="s">
        <v>4</v>
      </c>
      <c r="B25" s="62">
        <v>490180</v>
      </c>
      <c r="C25" s="62">
        <v>1404394</v>
      </c>
      <c r="D25" s="62">
        <v>1398992</v>
      </c>
    </row>
    <row r="26" spans="1:4">
      <c r="A26" s="7" t="s">
        <v>9</v>
      </c>
      <c r="B26" s="62">
        <v>3928</v>
      </c>
      <c r="C26" s="62">
        <v>165707</v>
      </c>
      <c r="D26" s="62">
        <v>452838</v>
      </c>
    </row>
    <row r="27" spans="1:4">
      <c r="A27" s="7" t="s">
        <v>10</v>
      </c>
      <c r="B27" s="62">
        <v>277546</v>
      </c>
      <c r="C27" s="62">
        <v>328265</v>
      </c>
      <c r="D27" s="62">
        <v>327937</v>
      </c>
    </row>
    <row r="28" spans="1:4">
      <c r="A28" s="7" t="s">
        <v>26</v>
      </c>
      <c r="B28" s="62">
        <v>0</v>
      </c>
      <c r="C28" s="62">
        <v>675000</v>
      </c>
      <c r="D28" s="62">
        <v>675000</v>
      </c>
    </row>
    <row r="29" spans="1:4">
      <c r="A29" s="7" t="s">
        <v>31</v>
      </c>
      <c r="B29" s="62">
        <v>0</v>
      </c>
      <c r="C29" s="62">
        <v>0</v>
      </c>
      <c r="D29" s="62">
        <v>0</v>
      </c>
    </row>
    <row r="30" spans="1:4">
      <c r="A30" s="3" t="s">
        <v>12</v>
      </c>
      <c r="B30" s="78">
        <f>SUM(B19:B29)</f>
        <v>1540432</v>
      </c>
      <c r="C30" s="78">
        <f>SUM(C19:C29)</f>
        <v>4311636</v>
      </c>
      <c r="D30" s="78">
        <f>SUM(D19:D29)</f>
        <v>4611732</v>
      </c>
    </row>
    <row r="31" spans="1:4">
      <c r="A31" s="7"/>
      <c r="B31" s="11"/>
      <c r="C31" s="11"/>
      <c r="D31" s="11"/>
    </row>
    <row r="32" spans="1:4">
      <c r="A32" s="7"/>
      <c r="B32" s="11"/>
      <c r="C32" s="11"/>
      <c r="D32" s="11"/>
    </row>
    <row r="33" spans="1:6">
      <c r="A33" s="3" t="s">
        <v>13</v>
      </c>
      <c r="B33" s="78">
        <f>B30+B15</f>
        <v>5440475.75</v>
      </c>
      <c r="C33" s="78">
        <f>C30+C15</f>
        <v>9758119</v>
      </c>
      <c r="D33" s="78">
        <f>D30+D15</f>
        <v>11087334</v>
      </c>
    </row>
    <row r="35" spans="1:6">
      <c r="A35" s="2" t="s">
        <v>14</v>
      </c>
      <c r="B35" s="35">
        <v>1097</v>
      </c>
      <c r="C35" s="35">
        <v>1589</v>
      </c>
      <c r="D35">
        <v>2011</v>
      </c>
    </row>
    <row r="37" spans="1:6">
      <c r="A37" s="1" t="s">
        <v>28</v>
      </c>
      <c r="B37" s="35">
        <f>B33/B35</f>
        <v>4959.4127164995443</v>
      </c>
      <c r="C37" s="35">
        <f>C33/C35</f>
        <v>6141.0440528634363</v>
      </c>
      <c r="D37" s="35">
        <f>D33/D35</f>
        <v>5513.3436101442067</v>
      </c>
    </row>
    <row r="39" spans="1:6">
      <c r="A39" s="1" t="s">
        <v>15</v>
      </c>
    </row>
    <row r="42" spans="1:6">
      <c r="A42" s="1" t="s">
        <v>27</v>
      </c>
    </row>
    <row r="43" spans="1:6">
      <c r="A43" t="s">
        <v>16</v>
      </c>
    </row>
    <row r="45" spans="1:6">
      <c r="A45" t="s">
        <v>17</v>
      </c>
    </row>
    <row r="46" spans="1:6">
      <c r="B46" s="35">
        <v>111260</v>
      </c>
      <c r="C46" s="35">
        <v>155381</v>
      </c>
      <c r="D46" s="35">
        <v>186381</v>
      </c>
      <c r="F46" s="79" t="s">
        <v>48</v>
      </c>
    </row>
    <row r="47" spans="1:6">
      <c r="A47" t="s">
        <v>18</v>
      </c>
      <c r="B47" s="35">
        <f>B46/B35</f>
        <v>101.42206016408386</v>
      </c>
      <c r="C47" s="35">
        <f>C46/C35</f>
        <v>97.785399622404029</v>
      </c>
      <c r="D47" s="35">
        <f>D46/D35</f>
        <v>92.680755842864244</v>
      </c>
    </row>
    <row r="49" spans="1:1">
      <c r="A49" s="1" t="s">
        <v>29</v>
      </c>
    </row>
    <row r="51" spans="1:1">
      <c r="A51" s="1" t="s">
        <v>30</v>
      </c>
    </row>
  </sheetData>
  <phoneticPr fontId="6" type="noConversion"/>
  <printOptions gridLines="1"/>
  <pageMargins left="0.25" right="0.25" top="1.25" bottom="0.5" header="0.5" footer="0.5"/>
  <pageSetup scale="18" orientation="portrait" blackAndWhite="1"/>
  <headerFooter alignWithMargins="0">
    <oddHeader>&amp;LSCHOOL:_KIPP DC_____&amp;CDC PUBLIC CHARTER SCHOOL
FACILITY COST TEMPLATE&amp;RSITE: ____All__________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80"/>
      <c r="C2" s="80"/>
      <c r="D2" s="80"/>
    </row>
    <row r="3" spans="1:4">
      <c r="A3" s="5" t="s">
        <v>20</v>
      </c>
      <c r="B3" s="80"/>
      <c r="C3" s="80"/>
      <c r="D3" s="80"/>
    </row>
    <row r="4" spans="1:4">
      <c r="A4" s="5" t="s">
        <v>1</v>
      </c>
      <c r="B4" s="81">
        <v>260500</v>
      </c>
      <c r="C4" s="81"/>
      <c r="D4" s="81"/>
    </row>
    <row r="5" spans="1:4">
      <c r="A5" s="7" t="s">
        <v>11</v>
      </c>
      <c r="B5" s="81"/>
      <c r="C5" s="81"/>
      <c r="D5" s="81"/>
    </row>
    <row r="6" spans="1:4">
      <c r="A6" s="7" t="s">
        <v>2</v>
      </c>
      <c r="B6" s="81"/>
      <c r="C6" s="81"/>
      <c r="D6" s="81"/>
    </row>
    <row r="7" spans="1:4">
      <c r="A7" s="7" t="s">
        <v>3</v>
      </c>
      <c r="B7" s="81"/>
      <c r="C7" s="81"/>
      <c r="D7" s="81"/>
    </row>
    <row r="8" spans="1:4">
      <c r="A8" s="7" t="s">
        <v>22</v>
      </c>
      <c r="B8" s="81"/>
      <c r="C8" s="81"/>
      <c r="D8" s="81"/>
    </row>
    <row r="9" spans="1:4">
      <c r="A9" s="7" t="s">
        <v>23</v>
      </c>
      <c r="B9" s="81"/>
      <c r="C9" s="81"/>
      <c r="D9" s="81"/>
    </row>
    <row r="10" spans="1:4">
      <c r="A10" s="7" t="s">
        <v>4</v>
      </c>
      <c r="B10" s="81"/>
      <c r="C10" s="81"/>
      <c r="D10" s="81"/>
    </row>
    <row r="11" spans="1:4">
      <c r="A11" s="7" t="s">
        <v>5</v>
      </c>
      <c r="B11" s="81"/>
      <c r="C11" s="81"/>
      <c r="D11" s="81"/>
    </row>
    <row r="12" spans="1:4">
      <c r="A12" s="7" t="s">
        <v>21</v>
      </c>
      <c r="B12" s="81"/>
      <c r="C12" s="81"/>
      <c r="D12" s="81"/>
    </row>
    <row r="13" spans="1:4">
      <c r="A13" s="7" t="s">
        <v>24</v>
      </c>
      <c r="B13" s="81"/>
      <c r="C13" s="81"/>
      <c r="D13" s="81"/>
    </row>
    <row r="14" spans="1:4">
      <c r="A14" s="7" t="s">
        <v>31</v>
      </c>
      <c r="B14" s="81"/>
      <c r="C14" s="81"/>
      <c r="D14" s="81"/>
    </row>
    <row r="15" spans="1:4">
      <c r="A15" s="3" t="s">
        <v>6</v>
      </c>
      <c r="B15" s="81">
        <f>SUM(B2:B14)</f>
        <v>260500</v>
      </c>
      <c r="C15" s="81">
        <f>SUM(C2:C14)</f>
        <v>0</v>
      </c>
      <c r="D15" s="81">
        <f>SUM(D2:D14)</f>
        <v>0</v>
      </c>
    </row>
    <row r="16" spans="1:4">
      <c r="A16" s="7"/>
      <c r="B16" s="81"/>
      <c r="C16" s="81"/>
      <c r="D16" s="81"/>
    </row>
    <row r="17" spans="1:4">
      <c r="A17" s="7"/>
      <c r="B17" s="81"/>
      <c r="C17" s="81"/>
      <c r="D17" s="81"/>
    </row>
    <row r="18" spans="1:4">
      <c r="A18" s="3" t="s">
        <v>7</v>
      </c>
      <c r="B18" s="81"/>
      <c r="C18" s="81"/>
      <c r="D18" s="81"/>
    </row>
    <row r="19" spans="1:4">
      <c r="A19" s="5" t="s">
        <v>19</v>
      </c>
      <c r="B19" s="81">
        <v>57642</v>
      </c>
      <c r="C19" s="81">
        <v>41500</v>
      </c>
      <c r="D19" s="81">
        <v>86500</v>
      </c>
    </row>
    <row r="20" spans="1:4">
      <c r="A20" s="5" t="s">
        <v>20</v>
      </c>
      <c r="B20" s="81">
        <v>89978</v>
      </c>
      <c r="C20" s="81">
        <v>138900</v>
      </c>
      <c r="D20" s="81">
        <v>153000</v>
      </c>
    </row>
    <row r="21" spans="1:4">
      <c r="A21" s="7" t="s">
        <v>2</v>
      </c>
      <c r="B21" s="81"/>
      <c r="C21" s="81"/>
      <c r="D21" s="81"/>
    </row>
    <row r="22" spans="1:4">
      <c r="A22" s="7" t="s">
        <v>3</v>
      </c>
      <c r="B22" s="81">
        <v>20803</v>
      </c>
      <c r="C22" s="81">
        <v>19384</v>
      </c>
      <c r="D22" s="81">
        <v>21000</v>
      </c>
    </row>
    <row r="23" spans="1:4">
      <c r="A23" s="7" t="s">
        <v>25</v>
      </c>
      <c r="B23" s="81">
        <v>192765</v>
      </c>
      <c r="C23" s="81">
        <v>261217</v>
      </c>
      <c r="D23" s="81">
        <v>270000</v>
      </c>
    </row>
    <row r="24" spans="1:4">
      <c r="A24" s="7" t="s">
        <v>8</v>
      </c>
      <c r="B24" s="81"/>
      <c r="C24" s="81"/>
      <c r="D24" s="81"/>
    </row>
    <row r="25" spans="1:4">
      <c r="A25" s="7" t="s">
        <v>4</v>
      </c>
      <c r="B25" s="81">
        <v>234481</v>
      </c>
      <c r="C25" s="81">
        <v>460159</v>
      </c>
      <c r="D25" s="81">
        <v>417000</v>
      </c>
    </row>
    <row r="26" spans="1:4">
      <c r="A26" s="7" t="s">
        <v>9</v>
      </c>
      <c r="B26" s="81"/>
      <c r="C26" s="81">
        <v>134881</v>
      </c>
      <c r="D26" s="81">
        <v>174000</v>
      </c>
    </row>
    <row r="27" spans="1:4">
      <c r="A27" s="7" t="s">
        <v>10</v>
      </c>
      <c r="B27" s="81"/>
      <c r="C27" s="81"/>
      <c r="D27" s="81"/>
    </row>
    <row r="28" spans="1:4">
      <c r="A28" s="7" t="s">
        <v>26</v>
      </c>
      <c r="B28" s="81">
        <v>5910</v>
      </c>
      <c r="C28" s="81">
        <v>71000</v>
      </c>
      <c r="D28" s="81">
        <v>75000</v>
      </c>
    </row>
    <row r="29" spans="1:4">
      <c r="A29" s="7" t="s">
        <v>31</v>
      </c>
      <c r="B29" s="81"/>
      <c r="C29" s="81"/>
      <c r="D29" s="81"/>
    </row>
    <row r="30" spans="1:4">
      <c r="A30" s="3" t="s">
        <v>12</v>
      </c>
      <c r="B30" s="81">
        <f>SUM(B19:B29)</f>
        <v>601579</v>
      </c>
      <c r="C30" s="81">
        <f>SUM(C19:C29)</f>
        <v>1127041</v>
      </c>
      <c r="D30" s="81">
        <f>SUM(D19:D29)</f>
        <v>1196500</v>
      </c>
    </row>
    <row r="31" spans="1:4">
      <c r="A31" s="7"/>
      <c r="B31" s="81"/>
      <c r="C31" s="81"/>
      <c r="D31" s="81"/>
    </row>
    <row r="32" spans="1:4">
      <c r="A32" s="7"/>
      <c r="B32" s="81"/>
      <c r="C32" s="81"/>
      <c r="D32" s="81"/>
    </row>
    <row r="33" spans="1:4">
      <c r="A33" s="3" t="s">
        <v>13</v>
      </c>
      <c r="B33" s="81">
        <f>B30+B15</f>
        <v>862079</v>
      </c>
      <c r="C33" s="81">
        <f>C30+C15</f>
        <v>1127041</v>
      </c>
      <c r="D33" s="81">
        <f>D30+D15</f>
        <v>1196500</v>
      </c>
    </row>
    <row r="34" spans="1:4">
      <c r="B34" s="34"/>
      <c r="C34" s="34"/>
      <c r="D34" s="34"/>
    </row>
    <row r="35" spans="1:4">
      <c r="A35" s="2" t="s">
        <v>14</v>
      </c>
      <c r="B35" s="34">
        <v>142</v>
      </c>
      <c r="C35" s="34">
        <v>171</v>
      </c>
      <c r="D35" s="34">
        <v>195</v>
      </c>
    </row>
    <row r="36" spans="1:4">
      <c r="B36" s="34"/>
      <c r="C36" s="34"/>
      <c r="D36" s="34"/>
    </row>
    <row r="37" spans="1:4">
      <c r="A37" s="1" t="s">
        <v>28</v>
      </c>
      <c r="B37" s="34">
        <v>6071</v>
      </c>
      <c r="C37" s="34">
        <v>6591</v>
      </c>
      <c r="D37" s="34">
        <v>6136</v>
      </c>
    </row>
    <row r="38" spans="1:4">
      <c r="B38" s="34"/>
      <c r="C38" s="34"/>
      <c r="D38" s="34"/>
    </row>
    <row r="39" spans="1:4">
      <c r="A39" s="1" t="s">
        <v>15</v>
      </c>
      <c r="B39" s="34"/>
      <c r="C39" s="34"/>
      <c r="D39" s="34"/>
    </row>
    <row r="40" spans="1:4" hidden="1">
      <c r="B40" s="34"/>
      <c r="C40" s="34"/>
      <c r="D40" s="34"/>
    </row>
    <row r="41" spans="1:4" hidden="1">
      <c r="B41" s="34"/>
      <c r="C41" s="34"/>
      <c r="D41" s="34"/>
    </row>
    <row r="42" spans="1:4">
      <c r="A42" s="1" t="s">
        <v>27</v>
      </c>
      <c r="B42" s="34">
        <v>5346</v>
      </c>
      <c r="C42" s="34">
        <v>6990</v>
      </c>
      <c r="D42" s="34">
        <v>7406</v>
      </c>
    </row>
    <row r="43" spans="1:4">
      <c r="A43" t="s">
        <v>16</v>
      </c>
      <c r="B43" s="34"/>
      <c r="C43" s="34"/>
      <c r="D43" s="34"/>
    </row>
    <row r="44" spans="1:4">
      <c r="B44" s="34"/>
      <c r="C44" s="34"/>
      <c r="D44" s="34"/>
    </row>
    <row r="45" spans="1:4">
      <c r="A45" t="s">
        <v>17</v>
      </c>
      <c r="B45" s="34">
        <v>140</v>
      </c>
      <c r="C45" s="34">
        <v>140</v>
      </c>
      <c r="D45" s="34">
        <v>140</v>
      </c>
    </row>
    <row r="46" spans="1:4">
      <c r="B46" s="34"/>
      <c r="C46" s="34"/>
      <c r="D46" s="34"/>
    </row>
    <row r="47" spans="1:4">
      <c r="A47" t="s">
        <v>18</v>
      </c>
      <c r="B47" s="34">
        <v>159</v>
      </c>
      <c r="C47" s="34">
        <v>132</v>
      </c>
      <c r="D47" s="34">
        <v>116</v>
      </c>
    </row>
    <row r="48" spans="1:4">
      <c r="B48" s="34"/>
      <c r="C48" s="34"/>
      <c r="D48" s="34"/>
    </row>
    <row r="49" spans="1:4">
      <c r="A49" s="1" t="s">
        <v>29</v>
      </c>
      <c r="B49" s="34">
        <v>5346</v>
      </c>
      <c r="C49" s="34">
        <v>6990</v>
      </c>
      <c r="D49" s="34">
        <v>7406</v>
      </c>
    </row>
    <row r="50" spans="1:4">
      <c r="B50" s="34"/>
      <c r="C50" s="34"/>
      <c r="D50" s="34"/>
    </row>
    <row r="51" spans="1:4">
      <c r="A51" s="1" t="s">
        <v>30</v>
      </c>
      <c r="B51" s="34">
        <v>759132</v>
      </c>
      <c r="C51" s="34">
        <v>1195290</v>
      </c>
      <c r="D51" s="34">
        <v>1444170</v>
      </c>
    </row>
  </sheetData>
  <phoneticPr fontId="4" type="noConversion"/>
  <printOptions gridLines="1"/>
  <pageMargins left="0.25" right="0.25" top="1.25" bottom="0.5" header="0.5" footer="0.5"/>
  <pageSetup scale="10" orientation="portrait" blackAndWhite="1"/>
  <headerFooter alignWithMargins="0">
    <oddHeader>&amp;LSCHOOL: LAMB PCS&amp;CDC PUBLIC CHARTER SCHOOL
FACILITY COST TEMPLATE&amp;RSITE: 1375 Missouri Ave NW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E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45.33203125" customWidth="1"/>
    <col min="2" max="2" width="17.83203125" customWidth="1"/>
    <col min="3" max="3" width="15.33203125" customWidth="1"/>
    <col min="4" max="4" width="16.1640625" customWidth="1"/>
  </cols>
  <sheetData>
    <row r="1" spans="1:5" ht="24">
      <c r="A1" s="3" t="s">
        <v>0</v>
      </c>
      <c r="B1" s="4" t="s">
        <v>34</v>
      </c>
      <c r="C1" s="4" t="s">
        <v>32</v>
      </c>
      <c r="D1" s="4" t="s">
        <v>33</v>
      </c>
    </row>
    <row r="2" spans="1:5">
      <c r="A2" s="5" t="s">
        <v>19</v>
      </c>
      <c r="B2" s="82">
        <v>16318</v>
      </c>
      <c r="C2" s="82">
        <v>21000</v>
      </c>
      <c r="D2" s="82">
        <f>21000*1.05</f>
        <v>22050</v>
      </c>
    </row>
    <row r="3" spans="1:5">
      <c r="A3" s="5" t="s">
        <v>20</v>
      </c>
      <c r="B3" s="82">
        <f>2930+21174</f>
        <v>24104</v>
      </c>
      <c r="C3" s="82">
        <v>44150</v>
      </c>
      <c r="D3" s="82">
        <f>44150*1.05</f>
        <v>46357.5</v>
      </c>
    </row>
    <row r="4" spans="1:5">
      <c r="A4" s="5" t="s">
        <v>1</v>
      </c>
      <c r="B4" s="83">
        <v>196117</v>
      </c>
      <c r="C4" s="83">
        <v>264000</v>
      </c>
      <c r="D4" s="83">
        <f>264000*1.03</f>
        <v>271920</v>
      </c>
    </row>
    <row r="5" spans="1:5">
      <c r="A5" s="7" t="s">
        <v>11</v>
      </c>
      <c r="B5" s="83"/>
      <c r="C5" s="83"/>
      <c r="D5" s="83"/>
    </row>
    <row r="6" spans="1:5">
      <c r="A6" s="7" t="s">
        <v>2</v>
      </c>
      <c r="B6" s="83"/>
      <c r="C6" s="83"/>
      <c r="D6" s="83"/>
    </row>
    <row r="7" spans="1:5">
      <c r="A7" s="7" t="s">
        <v>3</v>
      </c>
      <c r="B7" s="83">
        <v>206</v>
      </c>
      <c r="C7" s="83">
        <v>350</v>
      </c>
      <c r="D7" s="83">
        <v>350</v>
      </c>
    </row>
    <row r="8" spans="1:5">
      <c r="A8" s="7" t="s">
        <v>22</v>
      </c>
      <c r="B8" s="83">
        <v>13009</v>
      </c>
      <c r="C8" s="83">
        <f>13009-748+8975</f>
        <v>21236</v>
      </c>
      <c r="D8" s="83">
        <v>21236</v>
      </c>
    </row>
    <row r="9" spans="1:5">
      <c r="A9" s="7" t="s">
        <v>23</v>
      </c>
      <c r="B9" s="83"/>
      <c r="C9" s="83"/>
      <c r="D9" s="83"/>
    </row>
    <row r="10" spans="1:5">
      <c r="A10" s="7" t="s">
        <v>4</v>
      </c>
      <c r="B10" s="83"/>
      <c r="C10" s="83"/>
      <c r="D10" s="83"/>
    </row>
    <row r="11" spans="1:5">
      <c r="A11" s="7" t="s">
        <v>5</v>
      </c>
      <c r="B11" s="83"/>
      <c r="C11" s="83"/>
      <c r="D11" s="83"/>
      <c r="E11" s="2" t="s">
        <v>35</v>
      </c>
    </row>
    <row r="12" spans="1:5">
      <c r="A12" s="7" t="s">
        <v>21</v>
      </c>
      <c r="B12" s="83"/>
      <c r="C12" s="83"/>
      <c r="D12" s="83"/>
    </row>
    <row r="13" spans="1:5">
      <c r="A13" s="7" t="s">
        <v>24</v>
      </c>
      <c r="B13" s="83"/>
      <c r="C13" s="83">
        <v>5000</v>
      </c>
      <c r="D13" s="83">
        <v>5000</v>
      </c>
    </row>
    <row r="14" spans="1:5">
      <c r="A14" s="7" t="s">
        <v>31</v>
      </c>
      <c r="B14" s="83"/>
      <c r="C14" s="83"/>
      <c r="D14" s="83"/>
    </row>
    <row r="15" spans="1:5">
      <c r="A15" s="3" t="s">
        <v>6</v>
      </c>
      <c r="B15" s="83">
        <f>SUM(B2:B14)</f>
        <v>249754</v>
      </c>
      <c r="C15" s="83">
        <f>SUM(C2:C14)</f>
        <v>355736</v>
      </c>
      <c r="D15" s="83">
        <f>SUM(D2:D14)</f>
        <v>366913.5</v>
      </c>
    </row>
    <row r="16" spans="1:5">
      <c r="A16" s="7"/>
      <c r="B16" s="83"/>
      <c r="C16" s="83"/>
      <c r="D16" s="83"/>
    </row>
    <row r="17" spans="1:4">
      <c r="A17" s="7"/>
      <c r="B17" s="83"/>
      <c r="C17" s="83"/>
      <c r="D17" s="83"/>
    </row>
    <row r="18" spans="1:4">
      <c r="A18" s="3" t="s">
        <v>7</v>
      </c>
      <c r="B18" s="83"/>
      <c r="C18" s="83"/>
      <c r="D18" s="83"/>
    </row>
    <row r="19" spans="1:4">
      <c r="A19" s="5" t="s">
        <v>19</v>
      </c>
      <c r="B19" s="83"/>
      <c r="C19" s="83"/>
      <c r="D19" s="83"/>
    </row>
    <row r="20" spans="1:4">
      <c r="A20" s="5" t="s">
        <v>20</v>
      </c>
      <c r="B20" s="83"/>
      <c r="C20" s="83"/>
      <c r="D20" s="83"/>
    </row>
    <row r="21" spans="1:4">
      <c r="A21" s="7" t="s">
        <v>2</v>
      </c>
      <c r="B21" s="83"/>
      <c r="C21" s="83"/>
      <c r="D21" s="83"/>
    </row>
    <row r="22" spans="1:4">
      <c r="A22" s="7" t="s">
        <v>3</v>
      </c>
      <c r="B22" s="83"/>
      <c r="C22" s="83"/>
      <c r="D22" s="83"/>
    </row>
    <row r="23" spans="1:4">
      <c r="A23" s="7" t="s">
        <v>25</v>
      </c>
      <c r="B23" s="83"/>
      <c r="C23" s="83"/>
      <c r="D23" s="83"/>
    </row>
    <row r="24" spans="1:4">
      <c r="A24" s="7" t="s">
        <v>8</v>
      </c>
      <c r="B24" s="83"/>
      <c r="C24" s="83"/>
      <c r="D24" s="83"/>
    </row>
    <row r="25" spans="1:4">
      <c r="A25" s="7" t="s">
        <v>4</v>
      </c>
      <c r="B25" s="83"/>
      <c r="C25" s="83"/>
      <c r="D25" s="83"/>
    </row>
    <row r="26" spans="1:4">
      <c r="A26" s="7" t="s">
        <v>9</v>
      </c>
      <c r="B26" s="83"/>
      <c r="C26" s="83"/>
      <c r="D26" s="83"/>
    </row>
    <row r="27" spans="1:4">
      <c r="A27" s="7" t="s">
        <v>10</v>
      </c>
      <c r="B27" s="83"/>
      <c r="C27" s="83"/>
      <c r="D27" s="83"/>
    </row>
    <row r="28" spans="1:4">
      <c r="A28" s="7" t="s">
        <v>26</v>
      </c>
      <c r="B28" s="83"/>
      <c r="C28" s="83"/>
      <c r="D28" s="83"/>
    </row>
    <row r="29" spans="1:4">
      <c r="A29" s="7" t="s">
        <v>31</v>
      </c>
      <c r="B29" s="83"/>
      <c r="C29" s="83"/>
      <c r="D29" s="83"/>
    </row>
    <row r="30" spans="1:4">
      <c r="A30" s="3" t="s">
        <v>12</v>
      </c>
      <c r="B30" s="83">
        <f>SUM(B19:B29)</f>
        <v>0</v>
      </c>
      <c r="C30" s="83">
        <f>SUM(C19:C29)</f>
        <v>0</v>
      </c>
      <c r="D30" s="83">
        <f>SUM(D19:D29)</f>
        <v>0</v>
      </c>
    </row>
    <row r="31" spans="1:4">
      <c r="A31" s="7"/>
      <c r="B31" s="83"/>
      <c r="C31" s="83"/>
      <c r="D31" s="83"/>
    </row>
    <row r="32" spans="1:4">
      <c r="A32" s="7"/>
      <c r="B32" s="83"/>
      <c r="C32" s="83"/>
      <c r="D32" s="83"/>
    </row>
    <row r="33" spans="1:4">
      <c r="A33" s="3" t="s">
        <v>13</v>
      </c>
      <c r="B33" s="83">
        <f>B30+B15</f>
        <v>249754</v>
      </c>
      <c r="C33" s="83">
        <f>C30+C15</f>
        <v>355736</v>
      </c>
      <c r="D33" s="83">
        <f>D30+D15</f>
        <v>366913.5</v>
      </c>
    </row>
    <row r="35" spans="1:4">
      <c r="A35" s="2" t="s">
        <v>14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&amp;LSCHOOL:&amp;"Arial,Bold"YouthBuild Public Charter&amp;CDC PUBLIC CHARTER SCHOOL
FACILITY COST TEMPLATE&amp;RSITE:&amp;"Arial,Bold" Columbia Heights Campus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/>
  <dimension ref="A1:D51"/>
  <sheetViews>
    <sheetView topLeftCell="A4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84">
        <f>[5]Shaw!B2+[5]Evans!B2+[5]Middle!B2</f>
        <v>2277.2399999999998</v>
      </c>
      <c r="C2" s="84">
        <f>[5]Shaw!C2+[5]Evans!C2+[5]Middle!C2</f>
        <v>0</v>
      </c>
      <c r="D2" s="84">
        <f>[5]Shaw!D2+[5]Evans!D2+[5]Middle!D2</f>
        <v>0</v>
      </c>
    </row>
    <row r="3" spans="1:4">
      <c r="A3" s="5" t="s">
        <v>20</v>
      </c>
      <c r="B3" s="84">
        <f>[5]Shaw!B3+[5]Evans!B3+[5]Middle!B3</f>
        <v>283923.32</v>
      </c>
      <c r="C3" s="84">
        <f>[5]Shaw!C3+[5]Evans!C3+[5]Middle!C3</f>
        <v>306800</v>
      </c>
      <c r="D3" s="84">
        <f>[5]Shaw!D3+[5]Evans!D3+[5]Middle!D3</f>
        <v>316004</v>
      </c>
    </row>
    <row r="4" spans="1:4">
      <c r="A4" s="5" t="s">
        <v>1</v>
      </c>
      <c r="B4" s="84">
        <f>[5]Shaw!B4+[5]Evans!B4+[5]Middle!B4</f>
        <v>191000</v>
      </c>
      <c r="C4" s="84">
        <f>[5]Shaw!C4+[5]Evans!C4+[5]Middle!C4</f>
        <v>200000</v>
      </c>
      <c r="D4" s="84">
        <f>[5]Shaw!D4+[5]Evans!D4+[5]Middle!D4</f>
        <v>207500</v>
      </c>
    </row>
    <row r="5" spans="1:4">
      <c r="A5" s="7" t="s">
        <v>11</v>
      </c>
      <c r="B5" s="84"/>
      <c r="C5" s="84"/>
      <c r="D5" s="84"/>
    </row>
    <row r="6" spans="1:4">
      <c r="A6" s="7" t="s">
        <v>2</v>
      </c>
      <c r="B6" s="84">
        <f>[5]Shaw!B6+[5]Evans!B6+[5]Middle!B6</f>
        <v>5654</v>
      </c>
      <c r="C6" s="84">
        <f>[5]Shaw!C6+[5]Evans!C6+[5]Middle!C6</f>
        <v>5865</v>
      </c>
      <c r="D6" s="84">
        <f>[5]Shaw!D6+[5]Evans!D6+[5]Middle!D6</f>
        <v>6040</v>
      </c>
    </row>
    <row r="7" spans="1:4">
      <c r="A7" s="7" t="s">
        <v>3</v>
      </c>
      <c r="B7" s="84">
        <f>[5]Shaw!B7+[5]Evans!B7+[5]Middle!B7</f>
        <v>5654</v>
      </c>
      <c r="C7" s="84">
        <f>[5]Shaw!C7+[5]Evans!C7+[5]Middle!C7</f>
        <v>5865</v>
      </c>
      <c r="D7" s="84">
        <f>[5]Shaw!D7+[5]Evans!D7+[5]Middle!D7</f>
        <v>6040</v>
      </c>
    </row>
    <row r="8" spans="1:4">
      <c r="A8" s="7" t="s">
        <v>22</v>
      </c>
      <c r="B8" s="84">
        <f>[5]Shaw!B8+[5]Evans!B8+[5]Middle!B8</f>
        <v>23716</v>
      </c>
      <c r="C8" s="84">
        <f>[5]Shaw!C8+[5]Evans!C8+[5]Middle!C8</f>
        <v>31257</v>
      </c>
      <c r="D8" s="84">
        <f>[5]Shaw!D8+[5]Evans!D8+[5]Middle!D8</f>
        <v>31257</v>
      </c>
    </row>
    <row r="9" spans="1:4">
      <c r="A9" s="7" t="s">
        <v>23</v>
      </c>
      <c r="B9" s="84"/>
      <c r="C9" s="84"/>
      <c r="D9" s="84"/>
    </row>
    <row r="10" spans="1:4">
      <c r="A10" s="7" t="s">
        <v>4</v>
      </c>
      <c r="B10" s="84"/>
      <c r="C10" s="84"/>
      <c r="D10" s="84"/>
    </row>
    <row r="11" spans="1:4">
      <c r="A11" s="7" t="s">
        <v>5</v>
      </c>
      <c r="B11" s="84"/>
      <c r="C11" s="84"/>
      <c r="D11" s="84"/>
    </row>
    <row r="12" spans="1:4">
      <c r="A12" s="7" t="s">
        <v>21</v>
      </c>
      <c r="B12" s="84"/>
      <c r="C12" s="84"/>
      <c r="D12" s="84"/>
    </row>
    <row r="13" spans="1:4">
      <c r="A13" s="7" t="s">
        <v>24</v>
      </c>
      <c r="B13" s="84">
        <f>[5]Shaw!B13+[5]Evans!B13+[5]Middle!B13</f>
        <v>141998</v>
      </c>
      <c r="C13" s="84">
        <f>[5]Shaw!C13+[5]Evans!C13+[5]Middle!C13</f>
        <v>0</v>
      </c>
      <c r="D13" s="84">
        <f>[5]Shaw!D13+[5]Evans!D13+[5]Middle!D13</f>
        <v>175000</v>
      </c>
    </row>
    <row r="14" spans="1:4">
      <c r="A14" s="7" t="s">
        <v>31</v>
      </c>
      <c r="B14" s="84"/>
      <c r="C14" s="85"/>
      <c r="D14" s="85"/>
    </row>
    <row r="15" spans="1:4">
      <c r="A15" s="3" t="s">
        <v>6</v>
      </c>
      <c r="B15" s="85">
        <f>SUM(B2:B14)</f>
        <v>654222.56000000006</v>
      </c>
      <c r="C15" s="85">
        <f>SUM(C2:C14)</f>
        <v>549787</v>
      </c>
      <c r="D15" s="85">
        <f>SUM(D2:D14)</f>
        <v>741841</v>
      </c>
    </row>
    <row r="16" spans="1:4">
      <c r="A16" s="7"/>
      <c r="B16" s="85"/>
      <c r="C16" s="85"/>
      <c r="D16" s="85"/>
    </row>
    <row r="17" spans="1:4">
      <c r="A17" s="7"/>
      <c r="B17" s="85"/>
      <c r="C17" s="85"/>
      <c r="D17" s="85"/>
    </row>
    <row r="18" spans="1:4">
      <c r="A18" s="3" t="s">
        <v>7</v>
      </c>
      <c r="B18" s="85"/>
      <c r="C18" s="85"/>
      <c r="D18" s="85"/>
    </row>
    <row r="19" spans="1:4">
      <c r="A19" s="5" t="s">
        <v>19</v>
      </c>
      <c r="B19" s="85">
        <f>[5]Shaw!B19</f>
        <v>74558.91</v>
      </c>
      <c r="C19" s="85">
        <f>[5]Shaw!C19</f>
        <v>62040</v>
      </c>
      <c r="D19" s="85">
        <f>[5]Shaw!D19</f>
        <v>65000</v>
      </c>
    </row>
    <row r="20" spans="1:4">
      <c r="A20" s="5" t="s">
        <v>20</v>
      </c>
      <c r="B20" s="85">
        <f>[5]Shaw!B20</f>
        <v>161378.1</v>
      </c>
      <c r="C20" s="85">
        <f>[5]Shaw!C20</f>
        <v>121115</v>
      </c>
      <c r="D20" s="85">
        <f>[5]Shaw!D20</f>
        <v>125000</v>
      </c>
    </row>
    <row r="21" spans="1:4">
      <c r="A21" s="7" t="s">
        <v>2</v>
      </c>
      <c r="B21" s="85"/>
      <c r="C21" s="85"/>
      <c r="D21" s="85"/>
    </row>
    <row r="22" spans="1:4">
      <c r="A22" s="7" t="s">
        <v>3</v>
      </c>
      <c r="B22" s="85">
        <f>[5]Shaw!B22</f>
        <v>1864</v>
      </c>
      <c r="C22" s="85">
        <f>[5]Shaw!C22</f>
        <v>1958</v>
      </c>
      <c r="D22" s="85">
        <f>[5]Shaw!D22</f>
        <v>2000</v>
      </c>
    </row>
    <row r="23" spans="1:4">
      <c r="A23" s="7" t="s">
        <v>25</v>
      </c>
      <c r="B23" s="85">
        <f>[5]Shaw!B23</f>
        <v>89820</v>
      </c>
      <c r="C23" s="85">
        <f>[5]Shaw!C23</f>
        <v>94275</v>
      </c>
      <c r="D23" s="85">
        <f>[5]Shaw!D23</f>
        <v>95250</v>
      </c>
    </row>
    <row r="24" spans="1:4">
      <c r="A24" s="7" t="s">
        <v>8</v>
      </c>
      <c r="B24" s="85"/>
      <c r="C24" s="85"/>
      <c r="D24" s="85"/>
    </row>
    <row r="25" spans="1:4">
      <c r="A25" s="7" t="s">
        <v>4</v>
      </c>
      <c r="B25" s="85">
        <f>[5]Shaw!B25</f>
        <v>74001.959999999992</v>
      </c>
      <c r="C25" s="85">
        <f>[5]Shaw!C25</f>
        <v>88632</v>
      </c>
      <c r="D25" s="85">
        <f>[5]Shaw!D25</f>
        <v>88632</v>
      </c>
    </row>
    <row r="26" spans="1:4">
      <c r="A26" s="7" t="s">
        <v>9</v>
      </c>
      <c r="B26" s="85">
        <f>[5]Shaw!B26</f>
        <v>42637</v>
      </c>
      <c r="C26" s="85">
        <f>[5]Shaw!C26</f>
        <v>61565</v>
      </c>
      <c r="D26" s="85">
        <f>[5]Shaw!D26</f>
        <v>87556</v>
      </c>
    </row>
    <row r="27" spans="1:4">
      <c r="A27" s="7" t="s">
        <v>10</v>
      </c>
      <c r="B27" s="85"/>
      <c r="C27" s="85"/>
      <c r="D27" s="85"/>
    </row>
    <row r="28" spans="1:4">
      <c r="A28" s="7" t="s">
        <v>26</v>
      </c>
      <c r="B28" s="85">
        <f>[5]Shaw!B28</f>
        <v>6936</v>
      </c>
      <c r="C28" s="85">
        <f>[5]Shaw!C28</f>
        <v>0</v>
      </c>
      <c r="D28" s="85">
        <f>[5]Shaw!D28</f>
        <v>50000</v>
      </c>
    </row>
    <row r="29" spans="1:4">
      <c r="A29" s="7" t="s">
        <v>31</v>
      </c>
      <c r="B29" s="85"/>
      <c r="C29" s="85"/>
      <c r="D29" s="85"/>
    </row>
    <row r="30" spans="1:4">
      <c r="A30" s="3" t="s">
        <v>12</v>
      </c>
      <c r="B30" s="85">
        <f>SUM(B19:B29)</f>
        <v>451195.97</v>
      </c>
      <c r="C30" s="85">
        <f>SUM(C19:C29)</f>
        <v>429585</v>
      </c>
      <c r="D30" s="85">
        <f>SUM(D19:D29)</f>
        <v>513438</v>
      </c>
    </row>
    <row r="31" spans="1:4">
      <c r="A31" s="7"/>
      <c r="B31" s="85"/>
      <c r="C31" s="85"/>
      <c r="D31" s="85"/>
    </row>
    <row r="32" spans="1:4">
      <c r="A32" s="7"/>
      <c r="B32" s="85"/>
      <c r="C32" s="85"/>
      <c r="D32" s="85"/>
    </row>
    <row r="33" spans="1:4">
      <c r="A33" s="3" t="s">
        <v>13</v>
      </c>
      <c r="B33" s="85">
        <f>B30+B15</f>
        <v>1105418.53</v>
      </c>
      <c r="C33" s="85">
        <f>C30+C15</f>
        <v>979372</v>
      </c>
      <c r="D33" s="85">
        <f>D30+D15</f>
        <v>1255279</v>
      </c>
    </row>
    <row r="35" spans="1:4">
      <c r="A35" s="2" t="s">
        <v>14</v>
      </c>
      <c r="B35">
        <f>[5]Shaw!B35+[5]Evans!B35+[5]Middle!B35</f>
        <v>498</v>
      </c>
      <c r="C35">
        <f>[5]Shaw!C35+[5]Evans!C35+[5]Middle!C35</f>
        <v>555</v>
      </c>
      <c r="D35">
        <f>[5]Shaw!D35+[5]Evans!D35+[5]Middle!D35</f>
        <v>535</v>
      </c>
    </row>
    <row r="37" spans="1:4">
      <c r="A37" s="1" t="s">
        <v>28</v>
      </c>
      <c r="B37" s="49">
        <f>B33/B35</f>
        <v>2219.7159236947791</v>
      </c>
      <c r="C37" s="49">
        <f>C33/C35</f>
        <v>1764.6342342342343</v>
      </c>
      <c r="D37" s="49">
        <f>D33/D35</f>
        <v>2346.3158878504673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  <c r="B43">
        <f>[5]Shaw!B43+[5]Evans!B43+[5]Middle!B43</f>
        <v>146800</v>
      </c>
      <c r="C43">
        <f>[5]Shaw!C43+[5]Evans!C43+[5]Middle!C43</f>
        <v>146800</v>
      </c>
      <c r="D43">
        <f>[5]Shaw!D43+[5]Evans!D43+[5]Middle!D43</f>
        <v>146800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48.1640625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6"/>
      <c r="C2" s="6"/>
      <c r="D2" s="6"/>
    </row>
    <row r="3" spans="1:4">
      <c r="A3" s="5" t="s">
        <v>20</v>
      </c>
      <c r="B3" s="10">
        <v>73111</v>
      </c>
      <c r="C3" s="10">
        <v>150500</v>
      </c>
      <c r="D3" s="10">
        <v>150000</v>
      </c>
    </row>
    <row r="4" spans="1:4">
      <c r="A4" s="5" t="s">
        <v>1</v>
      </c>
      <c r="B4" s="10">
        <v>1048114</v>
      </c>
      <c r="C4" s="10">
        <v>1417340</v>
      </c>
      <c r="D4" s="10">
        <v>1020000</v>
      </c>
    </row>
    <row r="5" spans="1:4">
      <c r="A5" s="7" t="s">
        <v>11</v>
      </c>
      <c r="B5" s="10"/>
      <c r="C5" s="10"/>
      <c r="D5" s="10"/>
    </row>
    <row r="6" spans="1:4">
      <c r="A6" s="7" t="s">
        <v>2</v>
      </c>
      <c r="B6" s="10"/>
      <c r="C6" s="10"/>
      <c r="D6" s="10"/>
    </row>
    <row r="7" spans="1:4">
      <c r="A7" s="7" t="s">
        <v>3</v>
      </c>
      <c r="B7" s="10">
        <v>54454</v>
      </c>
      <c r="C7" s="10">
        <v>55000</v>
      </c>
      <c r="D7" s="10">
        <v>57000</v>
      </c>
    </row>
    <row r="8" spans="1:4">
      <c r="A8" s="7" t="s">
        <v>22</v>
      </c>
      <c r="B8" s="10"/>
      <c r="C8" s="10"/>
      <c r="D8" s="10"/>
    </row>
    <row r="9" spans="1:4">
      <c r="A9" s="7" t="s">
        <v>23</v>
      </c>
      <c r="B9" s="10"/>
      <c r="C9" s="10"/>
      <c r="D9" s="10"/>
    </row>
    <row r="10" spans="1:4">
      <c r="A10" s="7" t="s">
        <v>4</v>
      </c>
      <c r="B10" s="10"/>
      <c r="C10" s="10"/>
      <c r="D10" s="10"/>
    </row>
    <row r="11" spans="1:4">
      <c r="A11" s="7" t="s">
        <v>5</v>
      </c>
      <c r="B11" s="10"/>
      <c r="C11" s="10"/>
      <c r="D11" s="10"/>
    </row>
    <row r="12" spans="1:4">
      <c r="A12" s="7" t="s">
        <v>21</v>
      </c>
      <c r="B12" s="10"/>
      <c r="C12" s="10"/>
      <c r="D12" s="10"/>
    </row>
    <row r="13" spans="1:4">
      <c r="A13" s="7" t="s">
        <v>24</v>
      </c>
      <c r="B13" s="10">
        <v>68573</v>
      </c>
      <c r="C13" s="10">
        <v>75000</v>
      </c>
      <c r="D13" s="10">
        <v>80000</v>
      </c>
    </row>
    <row r="14" spans="1:4">
      <c r="A14" s="7" t="s">
        <v>31</v>
      </c>
      <c r="B14" s="10"/>
      <c r="C14" s="10"/>
      <c r="D14" s="10"/>
    </row>
    <row r="15" spans="1:4">
      <c r="A15" s="3" t="s">
        <v>6</v>
      </c>
      <c r="B15" s="10">
        <f>SUM(B2:B14)</f>
        <v>1244252</v>
      </c>
      <c r="C15" s="10">
        <f>SUM(C2:C14)</f>
        <v>1697840</v>
      </c>
      <c r="D15" s="10">
        <f>SUM(D2:D14)</f>
        <v>1307000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7"/>
      <c r="C19" s="7"/>
      <c r="D19" s="7"/>
    </row>
    <row r="20" spans="1:4">
      <c r="A20" s="5" t="s">
        <v>20</v>
      </c>
      <c r="B20" s="7"/>
      <c r="C20" s="7"/>
      <c r="D20" s="7"/>
    </row>
    <row r="21" spans="1:4">
      <c r="A21" s="7" t="s">
        <v>2</v>
      </c>
      <c r="B21" s="7"/>
      <c r="C21" s="7"/>
      <c r="D21" s="7"/>
    </row>
    <row r="22" spans="1:4">
      <c r="A22" s="7" t="s">
        <v>3</v>
      </c>
      <c r="B22" s="7"/>
      <c r="C22" s="7"/>
      <c r="D22" s="7"/>
    </row>
    <row r="23" spans="1:4">
      <c r="A23" s="7" t="s">
        <v>25</v>
      </c>
      <c r="B23" s="7"/>
      <c r="C23" s="7"/>
      <c r="D23" s="7"/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7"/>
      <c r="C25" s="7"/>
      <c r="D25" s="7"/>
    </row>
    <row r="26" spans="1:4">
      <c r="A26" s="7" t="s">
        <v>9</v>
      </c>
      <c r="B26" s="7"/>
      <c r="C26" s="7"/>
      <c r="D26" s="7"/>
    </row>
    <row r="27" spans="1:4">
      <c r="A27" s="7" t="s">
        <v>10</v>
      </c>
      <c r="B27" s="7"/>
      <c r="C27" s="7"/>
      <c r="D27" s="7"/>
    </row>
    <row r="28" spans="1:4">
      <c r="A28" s="7" t="s">
        <v>26</v>
      </c>
      <c r="B28" s="7"/>
      <c r="C28" s="7"/>
      <c r="D28" s="7"/>
    </row>
    <row r="29" spans="1:4">
      <c r="A29" s="7" t="s">
        <v>31</v>
      </c>
      <c r="B29" s="7"/>
      <c r="C29" s="7"/>
      <c r="D29" s="7"/>
    </row>
    <row r="30" spans="1:4">
      <c r="A30" s="3" t="s">
        <v>12</v>
      </c>
      <c r="B30" s="7">
        <f>SUM(B19:B29)</f>
        <v>0</v>
      </c>
      <c r="C30" s="7">
        <f>SUM(C19:C29)</f>
        <v>0</v>
      </c>
      <c r="D30" s="7">
        <f>SUM(D19:D29)</f>
        <v>0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10">
        <f>B30+B15</f>
        <v>1244252</v>
      </c>
      <c r="C33" s="10">
        <f>C30+C15</f>
        <v>1697840</v>
      </c>
      <c r="D33" s="10">
        <f>D30+D15</f>
        <v>1307000</v>
      </c>
    </row>
    <row r="35" spans="1:4">
      <c r="A35" s="2" t="s">
        <v>14</v>
      </c>
      <c r="B35" s="59">
        <f>B33/507</f>
        <v>2454.145956607495</v>
      </c>
      <c r="C35" s="13">
        <f>C33/512</f>
        <v>3316.09375</v>
      </c>
      <c r="D35" s="13">
        <f>D33/520</f>
        <v>2513.4615384615386</v>
      </c>
    </row>
    <row r="37" spans="1:4">
      <c r="A37" s="1" t="s">
        <v>28</v>
      </c>
      <c r="B37" s="35">
        <v>42323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/>
  <dimension ref="A1:I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  <col min="6" max="6" width="20.1640625" customWidth="1"/>
    <col min="7" max="9" width="11.33203125" bestFit="1" customWidth="1"/>
  </cols>
  <sheetData>
    <row r="1" spans="1:9" ht="24">
      <c r="A1" s="3" t="s">
        <v>0</v>
      </c>
      <c r="B1" s="4" t="s">
        <v>34</v>
      </c>
      <c r="C1" s="4" t="s">
        <v>32</v>
      </c>
      <c r="D1" s="4" t="s">
        <v>33</v>
      </c>
    </row>
    <row r="2" spans="1:9">
      <c r="A2" s="5" t="s">
        <v>19</v>
      </c>
      <c r="B2" s="86">
        <f>G12</f>
        <v>17088.28</v>
      </c>
      <c r="C2" s="87"/>
      <c r="D2" s="87"/>
    </row>
    <row r="3" spans="1:9">
      <c r="A3" s="5" t="s">
        <v>20</v>
      </c>
      <c r="B3" s="86">
        <f>SUM(G13:G14)</f>
        <v>28009.4</v>
      </c>
      <c r="C3" s="87"/>
      <c r="D3" s="87"/>
    </row>
    <row r="4" spans="1:9">
      <c r="A4" s="5" t="s">
        <v>1</v>
      </c>
      <c r="B4" s="88">
        <f>G9</f>
        <v>212778.05</v>
      </c>
      <c r="C4" s="88">
        <f>H9</f>
        <v>470400</v>
      </c>
      <c r="D4" s="88">
        <f>I9</f>
        <v>604800</v>
      </c>
    </row>
    <row r="5" spans="1:9">
      <c r="A5" s="7" t="s">
        <v>11</v>
      </c>
      <c r="B5" s="88"/>
      <c r="C5" s="88"/>
      <c r="D5" s="88"/>
      <c r="G5" t="s">
        <v>49</v>
      </c>
      <c r="H5" t="s">
        <v>50</v>
      </c>
      <c r="I5" t="s">
        <v>51</v>
      </c>
    </row>
    <row r="6" spans="1:9">
      <c r="A6" s="7" t="s">
        <v>2</v>
      </c>
      <c r="B6" s="88"/>
      <c r="C6" s="88"/>
      <c r="D6" s="88"/>
      <c r="F6" t="s">
        <v>52</v>
      </c>
      <c r="G6">
        <v>133</v>
      </c>
      <c r="H6">
        <v>210</v>
      </c>
      <c r="I6">
        <v>270</v>
      </c>
    </row>
    <row r="7" spans="1:9">
      <c r="A7" s="7" t="s">
        <v>3</v>
      </c>
      <c r="B7" s="89"/>
      <c r="C7" s="89"/>
      <c r="D7" s="89"/>
    </row>
    <row r="8" spans="1:9">
      <c r="A8" s="7" t="s">
        <v>22</v>
      </c>
      <c r="B8" s="88"/>
      <c r="C8" s="88"/>
      <c r="D8" s="88"/>
    </row>
    <row r="9" spans="1:9">
      <c r="A9" s="7" t="s">
        <v>23</v>
      </c>
      <c r="B9" s="88"/>
      <c r="C9" s="88"/>
      <c r="D9" s="88"/>
      <c r="F9" t="s">
        <v>53</v>
      </c>
      <c r="G9" s="90">
        <v>212778.05</v>
      </c>
      <c r="H9" s="90">
        <v>470400</v>
      </c>
      <c r="I9" s="90">
        <v>604800</v>
      </c>
    </row>
    <row r="10" spans="1:9">
      <c r="A10" s="7" t="s">
        <v>4</v>
      </c>
      <c r="B10" s="88"/>
      <c r="C10" s="88"/>
      <c r="D10" s="88"/>
      <c r="G10" s="90"/>
      <c r="H10" s="90"/>
      <c r="I10" s="90"/>
    </row>
    <row r="11" spans="1:9">
      <c r="A11" s="7" t="s">
        <v>5</v>
      </c>
      <c r="B11" s="88"/>
      <c r="C11" s="88"/>
      <c r="D11" s="88"/>
      <c r="G11" s="90"/>
      <c r="H11" s="90"/>
      <c r="I11" s="90"/>
    </row>
    <row r="12" spans="1:9">
      <c r="A12" s="7" t="s">
        <v>21</v>
      </c>
      <c r="B12" s="88"/>
      <c r="C12" s="88"/>
      <c r="D12" s="88"/>
      <c r="F12" t="s">
        <v>54</v>
      </c>
      <c r="G12" s="90">
        <v>17088.28</v>
      </c>
      <c r="H12" s="12" t="s">
        <v>55</v>
      </c>
      <c r="I12" s="12" t="s">
        <v>55</v>
      </c>
    </row>
    <row r="13" spans="1:9">
      <c r="A13" s="7" t="s">
        <v>24</v>
      </c>
      <c r="B13" s="88">
        <f>G18</f>
        <v>8023.75</v>
      </c>
      <c r="C13" s="88"/>
      <c r="D13" s="88"/>
      <c r="F13" t="s">
        <v>56</v>
      </c>
      <c r="G13" s="90">
        <v>20701.330000000002</v>
      </c>
      <c r="H13" s="12" t="s">
        <v>55</v>
      </c>
      <c r="I13" s="12" t="s">
        <v>55</v>
      </c>
    </row>
    <row r="14" spans="1:9">
      <c r="A14" s="7" t="s">
        <v>31</v>
      </c>
      <c r="B14" s="88"/>
      <c r="C14" s="88"/>
      <c r="D14" s="88"/>
      <c r="F14" t="s">
        <v>57</v>
      </c>
      <c r="G14" s="90">
        <v>7308.07</v>
      </c>
      <c r="H14" s="12" t="s">
        <v>55</v>
      </c>
      <c r="I14" s="12" t="s">
        <v>55</v>
      </c>
    </row>
    <row r="15" spans="1:9">
      <c r="A15" s="3" t="s">
        <v>6</v>
      </c>
      <c r="B15" s="91">
        <f>SUM(B2:B14)</f>
        <v>265899.48</v>
      </c>
      <c r="C15" s="91">
        <f>SUM(C2:C14)</f>
        <v>470400</v>
      </c>
      <c r="D15" s="91">
        <f>SUM(D2:D14)</f>
        <v>604800</v>
      </c>
      <c r="H15" s="90"/>
      <c r="I15" s="90"/>
    </row>
    <row r="16" spans="1:9">
      <c r="A16" s="7"/>
      <c r="B16" s="88"/>
      <c r="C16" s="88"/>
      <c r="D16" s="88"/>
      <c r="F16" t="s">
        <v>58</v>
      </c>
      <c r="H16" s="90"/>
      <c r="I16" s="90"/>
    </row>
    <row r="17" spans="1:9">
      <c r="A17" s="7"/>
      <c r="B17" s="88"/>
      <c r="C17" s="88"/>
      <c r="D17" s="88"/>
      <c r="F17" t="s">
        <v>59</v>
      </c>
      <c r="H17" s="90"/>
      <c r="I17" s="90"/>
    </row>
    <row r="18" spans="1:9">
      <c r="A18" s="3" t="s">
        <v>7</v>
      </c>
      <c r="B18" s="88"/>
      <c r="C18" s="88"/>
      <c r="D18" s="88"/>
      <c r="F18" t="s">
        <v>60</v>
      </c>
      <c r="G18" s="90">
        <v>8023.75</v>
      </c>
      <c r="H18" s="90"/>
      <c r="I18" s="90"/>
    </row>
    <row r="19" spans="1:9">
      <c r="A19" s="5" t="s">
        <v>19</v>
      </c>
      <c r="B19" s="88"/>
      <c r="C19" s="88"/>
      <c r="D19" s="88"/>
      <c r="G19" s="90"/>
      <c r="H19" s="90"/>
      <c r="I19" s="90"/>
    </row>
    <row r="20" spans="1:9">
      <c r="A20" s="5" t="s">
        <v>20</v>
      </c>
      <c r="B20" s="88"/>
      <c r="C20" s="88"/>
      <c r="D20" s="88"/>
      <c r="G20" s="90"/>
      <c r="H20" s="90"/>
      <c r="I20" s="90"/>
    </row>
    <row r="21" spans="1:9">
      <c r="A21" s="7" t="s">
        <v>2</v>
      </c>
      <c r="B21" s="88"/>
      <c r="C21" s="88"/>
      <c r="D21" s="88"/>
      <c r="G21" s="90"/>
      <c r="H21" s="90"/>
      <c r="I21" s="90"/>
    </row>
    <row r="22" spans="1:9">
      <c r="A22" s="7" t="s">
        <v>3</v>
      </c>
      <c r="B22" s="88"/>
      <c r="C22" s="88"/>
      <c r="D22" s="88"/>
      <c r="G22" s="90"/>
      <c r="H22" s="90"/>
      <c r="I22" s="90"/>
    </row>
    <row r="23" spans="1:9">
      <c r="A23" s="7" t="s">
        <v>25</v>
      </c>
      <c r="B23" s="88"/>
      <c r="C23" s="88"/>
      <c r="D23" s="88"/>
      <c r="G23" s="90"/>
      <c r="H23" s="90"/>
      <c r="I23" s="90"/>
    </row>
    <row r="24" spans="1:9">
      <c r="A24" s="7" t="s">
        <v>8</v>
      </c>
      <c r="B24" s="88"/>
      <c r="C24" s="88"/>
      <c r="D24" s="88"/>
      <c r="G24" s="90"/>
      <c r="H24" s="90"/>
      <c r="I24" s="90"/>
    </row>
    <row r="25" spans="1:9">
      <c r="A25" s="7" t="s">
        <v>4</v>
      </c>
      <c r="B25" s="88"/>
      <c r="C25" s="88"/>
      <c r="D25" s="88"/>
      <c r="G25" s="90"/>
      <c r="H25" s="90"/>
      <c r="I25" s="90"/>
    </row>
    <row r="26" spans="1:9">
      <c r="A26" s="7" t="s">
        <v>9</v>
      </c>
      <c r="B26" s="88"/>
      <c r="C26" s="88"/>
      <c r="D26" s="88"/>
      <c r="G26" s="90"/>
      <c r="H26" s="90"/>
      <c r="I26" s="90"/>
    </row>
    <row r="27" spans="1:9">
      <c r="A27" s="7" t="s">
        <v>10</v>
      </c>
      <c r="B27" s="88"/>
      <c r="C27" s="88"/>
      <c r="D27" s="88"/>
      <c r="G27" s="90"/>
      <c r="H27" s="90"/>
      <c r="I27" s="90"/>
    </row>
    <row r="28" spans="1:9">
      <c r="A28" s="7" t="s">
        <v>26</v>
      </c>
      <c r="B28" s="88"/>
      <c r="C28" s="88"/>
      <c r="D28" s="88"/>
      <c r="G28" s="90"/>
      <c r="H28" s="90"/>
      <c r="I28" s="90"/>
    </row>
    <row r="29" spans="1:9">
      <c r="A29" s="7" t="s">
        <v>31</v>
      </c>
      <c r="B29" s="88"/>
      <c r="C29" s="88"/>
      <c r="D29" s="88"/>
      <c r="G29" s="90"/>
      <c r="H29" s="90"/>
      <c r="I29" s="90"/>
    </row>
    <row r="30" spans="1:9">
      <c r="A30" s="3" t="s">
        <v>12</v>
      </c>
      <c r="B30" s="88">
        <f>SUM(B19:B29)</f>
        <v>0</v>
      </c>
      <c r="C30" s="88">
        <f>SUM(C19:C29)</f>
        <v>0</v>
      </c>
      <c r="D30" s="88">
        <f>SUM(D19:D29)</f>
        <v>0</v>
      </c>
      <c r="G30" s="90"/>
      <c r="H30" s="90"/>
      <c r="I30" s="90"/>
    </row>
    <row r="31" spans="1:9">
      <c r="A31" s="7"/>
      <c r="B31" s="88"/>
      <c r="C31" s="88"/>
      <c r="D31" s="88"/>
      <c r="G31" s="90"/>
      <c r="H31" s="90"/>
      <c r="I31" s="90"/>
    </row>
    <row r="32" spans="1:9">
      <c r="A32" s="7"/>
      <c r="B32" s="88"/>
      <c r="C32" s="88"/>
      <c r="D32" s="88"/>
    </row>
    <row r="33" spans="1:4">
      <c r="A33" s="3" t="s">
        <v>13</v>
      </c>
      <c r="B33" s="91">
        <f>B30+B15</f>
        <v>265899.48</v>
      </c>
      <c r="C33" s="91">
        <f>C30+C15</f>
        <v>470400</v>
      </c>
      <c r="D33" s="91">
        <f>D30+D15</f>
        <v>604800</v>
      </c>
    </row>
    <row r="34" spans="1:4">
      <c r="A34" s="92" t="s">
        <v>52</v>
      </c>
      <c r="B34">
        <v>133</v>
      </c>
      <c r="C34">
        <v>210</v>
      </c>
      <c r="D34">
        <v>270</v>
      </c>
    </row>
    <row r="35" spans="1:4">
      <c r="A35" s="2" t="s">
        <v>14</v>
      </c>
      <c r="B35" s="13">
        <f>B33/B34</f>
        <v>1999.2442105263156</v>
      </c>
      <c r="C35" s="13">
        <f>C33/C34</f>
        <v>2240</v>
      </c>
      <c r="D35" s="13">
        <f>D33/D34</f>
        <v>2240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/>
  <dimension ref="A1:E51"/>
  <sheetViews>
    <sheetView topLeftCell="A7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  <col min="5" max="5" width="10.33203125" bestFit="1" customWidth="1"/>
  </cols>
  <sheetData>
    <row r="1" spans="1:5" ht="24">
      <c r="A1" s="3" t="s">
        <v>0</v>
      </c>
      <c r="B1" s="4" t="s">
        <v>34</v>
      </c>
      <c r="C1" s="4" t="s">
        <v>32</v>
      </c>
      <c r="D1" s="4" t="s">
        <v>33</v>
      </c>
    </row>
    <row r="2" spans="1:5">
      <c r="A2" s="5" t="s">
        <v>19</v>
      </c>
      <c r="B2" s="87"/>
      <c r="C2" s="87"/>
      <c r="D2" s="87"/>
    </row>
    <row r="3" spans="1:5">
      <c r="A3" s="5" t="s">
        <v>20</v>
      </c>
      <c r="B3" s="87"/>
      <c r="C3" s="87"/>
      <c r="D3" s="87"/>
    </row>
    <row r="4" spans="1:5">
      <c r="A4" s="5" t="s">
        <v>1</v>
      </c>
      <c r="B4" s="93">
        <v>98670</v>
      </c>
      <c r="C4" s="93">
        <v>141174</v>
      </c>
      <c r="D4" s="93" t="s">
        <v>35</v>
      </c>
      <c r="E4" t="s">
        <v>35</v>
      </c>
    </row>
    <row r="5" spans="1:5">
      <c r="A5" s="7" t="s">
        <v>11</v>
      </c>
      <c r="B5" s="93">
        <f>21333+1597</f>
        <v>22930</v>
      </c>
      <c r="C5" s="93">
        <f>160386-141174</f>
        <v>19212</v>
      </c>
      <c r="D5" s="93" t="s">
        <v>35</v>
      </c>
      <c r="E5" s="13" t="s">
        <v>35</v>
      </c>
    </row>
    <row r="6" spans="1:5">
      <c r="A6" s="7" t="s">
        <v>2</v>
      </c>
      <c r="B6" s="93"/>
      <c r="C6" s="93"/>
      <c r="D6" s="93" t="s">
        <v>35</v>
      </c>
    </row>
    <row r="7" spans="1:5">
      <c r="A7" s="7" t="s">
        <v>3</v>
      </c>
      <c r="B7" s="93">
        <v>8622.23</v>
      </c>
      <c r="C7" s="93">
        <v>10767</v>
      </c>
      <c r="D7" s="93" t="s">
        <v>35</v>
      </c>
      <c r="E7" t="s">
        <v>35</v>
      </c>
    </row>
    <row r="8" spans="1:5">
      <c r="A8" s="7" t="s">
        <v>22</v>
      </c>
      <c r="B8" s="93"/>
      <c r="C8" s="93"/>
      <c r="D8" s="93"/>
    </row>
    <row r="9" spans="1:5">
      <c r="A9" s="7" t="s">
        <v>23</v>
      </c>
      <c r="B9" s="93"/>
      <c r="C9" s="93"/>
      <c r="D9" s="93"/>
    </row>
    <row r="10" spans="1:5">
      <c r="A10" s="7" t="s">
        <v>4</v>
      </c>
      <c r="B10" s="93"/>
      <c r="C10" s="93"/>
      <c r="D10" s="93"/>
    </row>
    <row r="11" spans="1:5">
      <c r="A11" s="7" t="s">
        <v>5</v>
      </c>
      <c r="B11" s="93"/>
      <c r="C11" s="93"/>
      <c r="D11" s="93"/>
    </row>
    <row r="12" spans="1:5">
      <c r="A12" s="7" t="s">
        <v>21</v>
      </c>
      <c r="B12" s="93"/>
      <c r="C12" s="93"/>
      <c r="D12" s="93"/>
    </row>
    <row r="13" spans="1:5">
      <c r="A13" s="7" t="s">
        <v>24</v>
      </c>
      <c r="B13" s="93">
        <v>5969.87</v>
      </c>
      <c r="C13" s="93">
        <v>2644</v>
      </c>
      <c r="D13" s="93" t="s">
        <v>35</v>
      </c>
      <c r="E13" t="s">
        <v>35</v>
      </c>
    </row>
    <row r="14" spans="1:5">
      <c r="A14" s="7" t="s">
        <v>31</v>
      </c>
      <c r="B14" s="93"/>
      <c r="C14" s="93"/>
      <c r="D14" s="93"/>
    </row>
    <row r="15" spans="1:5">
      <c r="A15" s="3" t="s">
        <v>6</v>
      </c>
      <c r="B15" s="93">
        <f>SUM(B2:B14)</f>
        <v>136192.1</v>
      </c>
      <c r="C15" s="93">
        <f>SUM(C2:C14)</f>
        <v>173797</v>
      </c>
      <c r="D15" s="93">
        <f>SUM(D2:D14)</f>
        <v>0</v>
      </c>
    </row>
    <row r="16" spans="1:5">
      <c r="A16" s="7"/>
      <c r="B16" s="93"/>
      <c r="C16" s="93"/>
      <c r="D16" s="93"/>
    </row>
    <row r="17" spans="1:4">
      <c r="A17" s="7"/>
      <c r="B17" s="93"/>
      <c r="C17" s="93"/>
      <c r="D17" s="93"/>
    </row>
    <row r="18" spans="1:4">
      <c r="A18" s="3" t="s">
        <v>7</v>
      </c>
      <c r="B18" s="93"/>
      <c r="C18" s="93"/>
      <c r="D18" s="93"/>
    </row>
    <row r="19" spans="1:4">
      <c r="A19" s="5" t="s">
        <v>19</v>
      </c>
      <c r="B19" s="93"/>
      <c r="C19" s="93"/>
      <c r="D19" s="93">
        <f>36000+5000</f>
        <v>41000</v>
      </c>
    </row>
    <row r="20" spans="1:4">
      <c r="A20" s="5" t="s">
        <v>20</v>
      </c>
      <c r="B20" s="93"/>
      <c r="C20" s="93"/>
      <c r="D20" s="93">
        <v>2750</v>
      </c>
    </row>
    <row r="21" spans="1:4">
      <c r="A21" s="7" t="s">
        <v>2</v>
      </c>
      <c r="B21" s="93"/>
      <c r="C21" s="93"/>
      <c r="D21" s="93"/>
    </row>
    <row r="22" spans="1:4">
      <c r="A22" s="7" t="s">
        <v>3</v>
      </c>
      <c r="B22" s="93"/>
      <c r="C22" s="93"/>
      <c r="D22" s="93">
        <v>11198</v>
      </c>
    </row>
    <row r="23" spans="1:4">
      <c r="A23" s="7" t="s">
        <v>25</v>
      </c>
      <c r="B23" s="93"/>
      <c r="C23" s="93"/>
      <c r="D23" s="93"/>
    </row>
    <row r="24" spans="1:4">
      <c r="A24" s="7" t="s">
        <v>8</v>
      </c>
      <c r="B24" s="93"/>
      <c r="C24" s="93"/>
      <c r="D24" s="93">
        <v>231948</v>
      </c>
    </row>
    <row r="25" spans="1:4">
      <c r="A25" s="7" t="s">
        <v>4</v>
      </c>
      <c r="B25" s="93"/>
      <c r="C25" s="93"/>
      <c r="D25" s="93" t="s">
        <v>35</v>
      </c>
    </row>
    <row r="26" spans="1:4">
      <c r="A26" s="7" t="s">
        <v>9</v>
      </c>
      <c r="B26" s="93"/>
      <c r="C26" s="93"/>
      <c r="D26" s="93" t="s">
        <v>35</v>
      </c>
    </row>
    <row r="27" spans="1:4">
      <c r="A27" s="7" t="s">
        <v>10</v>
      </c>
      <c r="B27" s="93"/>
      <c r="C27" s="93"/>
      <c r="D27" s="93"/>
    </row>
    <row r="28" spans="1:4">
      <c r="A28" s="7" t="s">
        <v>26</v>
      </c>
      <c r="B28" s="93"/>
      <c r="C28" s="93"/>
      <c r="D28" s="93"/>
    </row>
    <row r="29" spans="1:4">
      <c r="A29" s="7" t="s">
        <v>31</v>
      </c>
      <c r="B29" s="93"/>
      <c r="C29" s="93"/>
      <c r="D29" s="93">
        <v>270646</v>
      </c>
    </row>
    <row r="30" spans="1:4">
      <c r="A30" s="3" t="s">
        <v>12</v>
      </c>
      <c r="B30" s="93">
        <f>SUM(B19:B29)</f>
        <v>0</v>
      </c>
      <c r="C30" s="93">
        <f>SUM(C19:C29)</f>
        <v>0</v>
      </c>
      <c r="D30" s="93">
        <f>SUM(D19:D29)</f>
        <v>557542</v>
      </c>
    </row>
    <row r="31" spans="1:4">
      <c r="A31" s="7"/>
      <c r="B31" s="93"/>
      <c r="C31" s="93"/>
      <c r="D31" s="93"/>
    </row>
    <row r="32" spans="1:4">
      <c r="A32" s="7"/>
      <c r="B32" s="93"/>
      <c r="C32" s="93"/>
      <c r="D32" s="93"/>
    </row>
    <row r="33" spans="1:4">
      <c r="A33" s="3" t="s">
        <v>13</v>
      </c>
      <c r="B33" s="93">
        <f>B30+B15</f>
        <v>136192.1</v>
      </c>
      <c r="C33" s="93">
        <f>C30+C15</f>
        <v>173797</v>
      </c>
      <c r="D33" s="93">
        <f>D30+D15</f>
        <v>557542</v>
      </c>
    </row>
    <row r="35" spans="1:4">
      <c r="A35" s="2" t="s">
        <v>14</v>
      </c>
      <c r="B35" s="35">
        <v>84</v>
      </c>
      <c r="C35">
        <v>114</v>
      </c>
      <c r="D35">
        <v>160</v>
      </c>
    </row>
    <row r="37" spans="1:4">
      <c r="A37" s="1" t="s">
        <v>28</v>
      </c>
      <c r="B37" t="s">
        <v>61</v>
      </c>
      <c r="C37" t="s">
        <v>61</v>
      </c>
      <c r="D37" t="s">
        <v>62</v>
      </c>
    </row>
    <row r="39" spans="1:4">
      <c r="A39" s="1" t="s">
        <v>15</v>
      </c>
      <c r="B39" s="13" t="s">
        <v>35</v>
      </c>
      <c r="D39" t="s">
        <v>35</v>
      </c>
    </row>
    <row r="40" spans="1:4" hidden="1"/>
    <row r="41" spans="1:4" hidden="1"/>
    <row r="42" spans="1:4">
      <c r="A42" s="1" t="s">
        <v>27</v>
      </c>
      <c r="B42" s="13"/>
    </row>
    <row r="43" spans="1:4">
      <c r="A43" t="s">
        <v>16</v>
      </c>
      <c r="B43" s="12"/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scale="90" orientation="portrait" blackAndWhite="1"/>
  <headerFooter alignWithMargins="0">
    <oddHeader xml:space="preserve">&amp;LSCHOOL:  &amp;UThe Next Step 
Public Charter School&amp;CDC PUBLIC CHARTER SCHOOL
FACILITY COST TEMPLATE&amp;RSITE:       &amp;U NA &amp;U      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/>
  <dimension ref="A1:D53"/>
  <sheetViews>
    <sheetView topLeftCell="A13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10"/>
      <c r="C2" s="10"/>
      <c r="D2" s="10"/>
    </row>
    <row r="3" spans="1:4">
      <c r="A3" s="5" t="s">
        <v>20</v>
      </c>
      <c r="B3" s="10"/>
      <c r="C3" s="10"/>
      <c r="D3" s="10"/>
    </row>
    <row r="4" spans="1:4">
      <c r="A4" s="5" t="s">
        <v>1</v>
      </c>
      <c r="B4" s="58">
        <v>4008</v>
      </c>
      <c r="C4" s="58">
        <v>20000</v>
      </c>
      <c r="D4" s="58">
        <v>20000</v>
      </c>
    </row>
    <row r="5" spans="1:4">
      <c r="A5" s="7" t="s">
        <v>11</v>
      </c>
      <c r="B5" s="58"/>
      <c r="C5" s="58"/>
      <c r="D5" s="58"/>
    </row>
    <row r="6" spans="1:4">
      <c r="A6" s="7" t="s">
        <v>2</v>
      </c>
      <c r="B6" s="58"/>
      <c r="C6" s="58"/>
      <c r="D6" s="58"/>
    </row>
    <row r="7" spans="1:4">
      <c r="A7" s="7" t="s">
        <v>3</v>
      </c>
      <c r="B7" s="58"/>
      <c r="C7" s="58"/>
      <c r="D7" s="58"/>
    </row>
    <row r="8" spans="1:4">
      <c r="A8" s="7" t="s">
        <v>22</v>
      </c>
      <c r="B8" s="58"/>
      <c r="C8" s="58"/>
      <c r="D8" s="58"/>
    </row>
    <row r="9" spans="1:4">
      <c r="A9" s="7" t="s">
        <v>23</v>
      </c>
      <c r="B9" s="58"/>
      <c r="C9" s="58"/>
      <c r="D9" s="58"/>
    </row>
    <row r="10" spans="1:4">
      <c r="A10" s="7" t="s">
        <v>4</v>
      </c>
      <c r="B10" s="58"/>
      <c r="C10" s="58"/>
      <c r="D10" s="58"/>
    </row>
    <row r="11" spans="1:4">
      <c r="A11" s="7" t="s">
        <v>5</v>
      </c>
      <c r="B11" s="58"/>
      <c r="C11" s="58"/>
      <c r="D11" s="58"/>
    </row>
    <row r="12" spans="1:4">
      <c r="A12" s="7" t="s">
        <v>21</v>
      </c>
      <c r="B12" s="58"/>
      <c r="C12" s="58"/>
      <c r="D12" s="58"/>
    </row>
    <row r="13" spans="1:4">
      <c r="A13" s="7" t="s">
        <v>24</v>
      </c>
      <c r="B13" s="58"/>
      <c r="C13" s="58"/>
      <c r="D13" s="58"/>
    </row>
    <row r="14" spans="1:4">
      <c r="A14" s="7" t="s">
        <v>31</v>
      </c>
      <c r="B14" s="58"/>
      <c r="C14" s="58"/>
      <c r="D14" s="58"/>
    </row>
    <row r="15" spans="1:4">
      <c r="A15" s="3" t="s">
        <v>6</v>
      </c>
      <c r="B15" s="58">
        <f>SUM(B2:B14)</f>
        <v>4008</v>
      </c>
      <c r="C15" s="58">
        <f>SUM(C2:C14)</f>
        <v>20000</v>
      </c>
      <c r="D15" s="58">
        <f>SUM(D2:D14)</f>
        <v>20000</v>
      </c>
    </row>
    <row r="16" spans="1:4">
      <c r="A16" s="7"/>
      <c r="B16" s="58"/>
      <c r="C16" s="58"/>
      <c r="D16" s="58"/>
    </row>
    <row r="17" spans="1:4">
      <c r="A17" s="7"/>
      <c r="B17" s="58"/>
      <c r="C17" s="58"/>
      <c r="D17" s="58"/>
    </row>
    <row r="18" spans="1:4">
      <c r="A18" s="3" t="s">
        <v>7</v>
      </c>
      <c r="B18" s="21"/>
      <c r="C18" s="58"/>
      <c r="D18" s="58"/>
    </row>
    <row r="19" spans="1:4">
      <c r="A19" s="5" t="s">
        <v>19</v>
      </c>
      <c r="B19" s="58">
        <v>183751</v>
      </c>
      <c r="C19" s="58">
        <v>180000</v>
      </c>
      <c r="D19" s="58">
        <v>200000</v>
      </c>
    </row>
    <row r="20" spans="1:4">
      <c r="A20" s="5" t="s">
        <v>63</v>
      </c>
      <c r="B20" s="58">
        <v>371396</v>
      </c>
      <c r="C20" s="58">
        <v>331000</v>
      </c>
      <c r="D20" s="58">
        <v>350000</v>
      </c>
    </row>
    <row r="21" spans="1:4">
      <c r="A21" s="7" t="s">
        <v>2</v>
      </c>
      <c r="B21" s="21"/>
      <c r="C21" s="58"/>
      <c r="D21" s="58"/>
    </row>
    <row r="22" spans="1:4">
      <c r="A22" s="7" t="s">
        <v>3</v>
      </c>
      <c r="B22" s="58">
        <v>10954</v>
      </c>
      <c r="C22" s="58">
        <v>10954</v>
      </c>
      <c r="D22" s="58">
        <v>13000</v>
      </c>
    </row>
    <row r="23" spans="1:4">
      <c r="A23" s="7" t="s">
        <v>25</v>
      </c>
      <c r="B23" s="58">
        <v>306761</v>
      </c>
      <c r="C23" s="58">
        <v>500000</v>
      </c>
      <c r="D23" s="58">
        <v>520000</v>
      </c>
    </row>
    <row r="24" spans="1:4">
      <c r="A24" s="7" t="s">
        <v>8</v>
      </c>
      <c r="B24" s="58"/>
      <c r="C24" s="58"/>
      <c r="D24" s="58"/>
    </row>
    <row r="25" spans="1:4">
      <c r="A25" s="7" t="s">
        <v>4</v>
      </c>
      <c r="B25" s="58">
        <v>341298</v>
      </c>
      <c r="C25" s="58">
        <v>471468</v>
      </c>
      <c r="D25" s="58">
        <f>(29003.1+13406)*12</f>
        <v>508909.19999999995</v>
      </c>
    </row>
    <row r="26" spans="1:4">
      <c r="A26" s="7" t="s">
        <v>9</v>
      </c>
      <c r="B26" s="58">
        <v>208312</v>
      </c>
      <c r="C26" s="58">
        <v>290000</v>
      </c>
      <c r="D26" s="58">
        <f>(16716+7727)*12</f>
        <v>293316</v>
      </c>
    </row>
    <row r="27" spans="1:4">
      <c r="A27" s="7" t="s">
        <v>10</v>
      </c>
      <c r="B27" s="58"/>
      <c r="C27" s="58"/>
      <c r="D27" s="58"/>
    </row>
    <row r="28" spans="1:4">
      <c r="A28" s="7" t="s">
        <v>26</v>
      </c>
      <c r="B28" s="58"/>
      <c r="C28" s="58"/>
      <c r="D28" s="58"/>
    </row>
    <row r="29" spans="1:4">
      <c r="A29" s="7" t="s">
        <v>31</v>
      </c>
      <c r="B29" s="58"/>
      <c r="C29" s="58"/>
      <c r="D29" s="58"/>
    </row>
    <row r="30" spans="1:4">
      <c r="A30" s="3" t="s">
        <v>12</v>
      </c>
      <c r="B30" s="58">
        <f>SUM(B19:B29)</f>
        <v>1422472</v>
      </c>
      <c r="C30" s="58">
        <f>SUM(C19:C29)</f>
        <v>1783422</v>
      </c>
      <c r="D30" s="58">
        <f>SUM(D19:D29)</f>
        <v>1885225.2</v>
      </c>
    </row>
    <row r="31" spans="1:4">
      <c r="A31" s="7"/>
      <c r="B31" s="58"/>
      <c r="C31" s="58"/>
      <c r="D31" s="58"/>
    </row>
    <row r="32" spans="1:4">
      <c r="A32" s="7"/>
      <c r="B32" s="58"/>
      <c r="C32" s="58"/>
      <c r="D32" s="58"/>
    </row>
    <row r="33" spans="1:4">
      <c r="A33" s="3" t="s">
        <v>13</v>
      </c>
      <c r="B33" s="58">
        <f>B30+B15</f>
        <v>1426480</v>
      </c>
      <c r="C33" s="58">
        <f>C30+C15</f>
        <v>1803422</v>
      </c>
      <c r="D33" s="58">
        <f>D30+D15</f>
        <v>1905225.2</v>
      </c>
    </row>
    <row r="34" spans="1:4">
      <c r="B34" s="21"/>
      <c r="C34" s="21"/>
      <c r="D34" s="21"/>
    </row>
    <row r="35" spans="1:4">
      <c r="A35" s="2" t="s">
        <v>14</v>
      </c>
      <c r="B35" s="21"/>
      <c r="C35" s="21"/>
      <c r="D35" s="21"/>
    </row>
    <row r="36" spans="1:4">
      <c r="B36" s="21"/>
      <c r="C36" s="21"/>
      <c r="D36" s="21"/>
    </row>
    <row r="37" spans="1:4">
      <c r="A37" s="1" t="s">
        <v>28</v>
      </c>
      <c r="B37" s="21"/>
      <c r="C37" s="21"/>
      <c r="D37" s="21"/>
    </row>
    <row r="38" spans="1:4">
      <c r="B38" s="21"/>
      <c r="C38" s="21"/>
      <c r="D38" s="21"/>
    </row>
    <row r="39" spans="1:4">
      <c r="A39" s="1" t="s">
        <v>15</v>
      </c>
      <c r="B39" s="21"/>
      <c r="C39" s="21"/>
      <c r="D39" s="21"/>
    </row>
    <row r="40" spans="1:4" hidden="1">
      <c r="B40" s="21"/>
      <c r="C40" s="21"/>
      <c r="D40" s="21"/>
    </row>
    <row r="41" spans="1:4" hidden="1">
      <c r="B41" s="21"/>
      <c r="C41" s="21"/>
      <c r="D41" s="21"/>
    </row>
    <row r="42" spans="1:4">
      <c r="A42" s="1" t="s">
        <v>27</v>
      </c>
      <c r="B42" s="21" t="s">
        <v>35</v>
      </c>
      <c r="C42" s="21"/>
      <c r="D42" s="21"/>
    </row>
    <row r="43" spans="1:4">
      <c r="A43" t="s">
        <v>16</v>
      </c>
      <c r="B43" s="21"/>
      <c r="C43" s="21"/>
      <c r="D43" s="21"/>
    </row>
    <row r="44" spans="1:4">
      <c r="B44" s="21"/>
      <c r="C44" s="21"/>
      <c r="D44" s="21"/>
    </row>
    <row r="45" spans="1:4">
      <c r="A45" t="s">
        <v>17</v>
      </c>
      <c r="B45" s="21"/>
      <c r="C45" s="21"/>
      <c r="D45" s="21"/>
    </row>
    <row r="46" spans="1:4">
      <c r="B46" s="21"/>
      <c r="C46" s="21"/>
      <c r="D46" s="21"/>
    </row>
    <row r="47" spans="1:4">
      <c r="A47" t="s">
        <v>18</v>
      </c>
      <c r="B47" s="21"/>
      <c r="C47" s="21"/>
      <c r="D47" s="21"/>
    </row>
    <row r="48" spans="1:4">
      <c r="B48" s="21"/>
      <c r="C48" s="21"/>
      <c r="D48" s="21"/>
    </row>
    <row r="49" spans="1:4">
      <c r="A49" s="1" t="s">
        <v>29</v>
      </c>
      <c r="B49" s="21"/>
      <c r="C49" s="21"/>
      <c r="D49" s="21"/>
    </row>
    <row r="50" spans="1:4">
      <c r="B50" s="21"/>
      <c r="C50" s="21"/>
      <c r="D50" s="21"/>
    </row>
    <row r="51" spans="1:4">
      <c r="A51" s="1" t="s">
        <v>30</v>
      </c>
      <c r="B51" s="21"/>
      <c r="C51" s="21"/>
      <c r="D51" s="21"/>
    </row>
    <row r="52" spans="1:4">
      <c r="B52" s="21"/>
      <c r="C52" s="21"/>
      <c r="D52" s="21"/>
    </row>
    <row r="53" spans="1:4" ht="24">
      <c r="A53" s="94" t="s">
        <v>64</v>
      </c>
      <c r="B53" s="95">
        <v>235159</v>
      </c>
      <c r="C53" s="95">
        <v>186000</v>
      </c>
      <c r="D53" s="96">
        <v>205000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D54"/>
  <sheetViews>
    <sheetView topLeftCell="A28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20">
        <f>'[2]Upper School'!B2+'[2]Lower School'!B2</f>
        <v>64473.16</v>
      </c>
      <c r="C2" s="20">
        <f>'[2]Upper School'!C2+'[2]Lower School'!C2</f>
        <v>146173.54835200001</v>
      </c>
      <c r="D2" s="20">
        <f>'[2]Upper School'!D2+'[2]Lower School'!D2</f>
        <v>150558.75480256003</v>
      </c>
    </row>
    <row r="3" spans="1:4">
      <c r="A3" s="5" t="s">
        <v>20</v>
      </c>
      <c r="B3" s="20">
        <f>'[2]Upper School'!B3+'[2]Lower School'!B3</f>
        <v>63012</v>
      </c>
      <c r="C3" s="20">
        <f>'[2]Upper School'!C3+'[2]Lower School'!C3</f>
        <v>70219</v>
      </c>
      <c r="D3" s="20">
        <f>'[2]Upper School'!D3+'[2]Lower School'!D3</f>
        <v>85175</v>
      </c>
    </row>
    <row r="4" spans="1:4">
      <c r="A4" s="5" t="s">
        <v>1</v>
      </c>
      <c r="B4" s="20">
        <f>'[2]Upper School'!B4+'[2]Lower School'!B4</f>
        <v>288375</v>
      </c>
      <c r="C4" s="20">
        <f>'[2]Upper School'!C4+'[2]Lower School'!C4</f>
        <v>678489</v>
      </c>
      <c r="D4" s="20">
        <f>'[2]Upper School'!D4+'[2]Lower School'!D4</f>
        <v>678489</v>
      </c>
    </row>
    <row r="5" spans="1:4">
      <c r="A5" s="7" t="s">
        <v>11</v>
      </c>
      <c r="B5" s="20">
        <f>'[2]Upper School'!B5+'[2]Lower School'!B5</f>
        <v>0</v>
      </c>
      <c r="C5" s="20">
        <f>'[2]Upper School'!C5+'[2]Lower School'!C5</f>
        <v>0</v>
      </c>
      <c r="D5" s="20">
        <f>'[2]Upper School'!D5+'[2]Lower School'!D5</f>
        <v>0</v>
      </c>
    </row>
    <row r="6" spans="1:4">
      <c r="A6" s="7" t="s">
        <v>2</v>
      </c>
      <c r="B6" s="20">
        <f>'[2]Upper School'!B6+'[2]Lower School'!B6</f>
        <v>38950.29</v>
      </c>
      <c r="C6" s="20">
        <f>'[2]Upper School'!C6+'[2]Lower School'!C6</f>
        <v>88308.097487999999</v>
      </c>
      <c r="D6" s="20">
        <f>'[2]Upper School'!D6+'[2]Lower School'!D6</f>
        <v>88308.097487999999</v>
      </c>
    </row>
    <row r="7" spans="1:4">
      <c r="A7" s="7" t="s">
        <v>3</v>
      </c>
      <c r="B7" s="20">
        <f>'[2]Upper School'!B7+'[2]Lower School'!B7</f>
        <v>0</v>
      </c>
      <c r="C7" s="20">
        <f>'[2]Upper School'!C7+'[2]Lower School'!C7</f>
        <v>11380.901162790698</v>
      </c>
      <c r="D7" s="20">
        <f>'[2]Upper School'!D7+'[2]Lower School'!D7</f>
        <v>14636.719186046514</v>
      </c>
    </row>
    <row r="8" spans="1:4">
      <c r="A8" s="7" t="s">
        <v>22</v>
      </c>
      <c r="B8" s="20">
        <f>'[2]Upper School'!B8+'[2]Lower School'!B8</f>
        <v>8904</v>
      </c>
      <c r="C8" s="20">
        <f>'[2]Upper School'!C8+'[2]Lower School'!C8</f>
        <v>16474</v>
      </c>
      <c r="D8" s="20">
        <f>'[2]Upper School'!D8+'[2]Lower School'!D8</f>
        <v>20188</v>
      </c>
    </row>
    <row r="9" spans="1:4">
      <c r="A9" s="7" t="s">
        <v>23</v>
      </c>
      <c r="B9" s="20">
        <f>'[2]Upper School'!B9+'[2]Lower School'!B9</f>
        <v>0</v>
      </c>
      <c r="C9" s="20">
        <f>'[2]Upper School'!C9+'[2]Lower School'!C9</f>
        <v>0</v>
      </c>
      <c r="D9" s="20">
        <f>'[2]Upper School'!D9+'[2]Lower School'!D9</f>
        <v>0</v>
      </c>
    </row>
    <row r="10" spans="1:4">
      <c r="A10" s="7" t="s">
        <v>4</v>
      </c>
      <c r="B10" s="20">
        <f>'[2]Upper School'!B10+'[2]Lower School'!B10</f>
        <v>0</v>
      </c>
      <c r="C10" s="20">
        <f>'[2]Upper School'!C10+'[2]Lower School'!C10</f>
        <v>0</v>
      </c>
      <c r="D10" s="20">
        <f>'[2]Upper School'!D10+'[2]Lower School'!D10</f>
        <v>0</v>
      </c>
    </row>
    <row r="11" spans="1:4">
      <c r="A11" s="7" t="s">
        <v>5</v>
      </c>
      <c r="B11" s="20">
        <f>'[2]Upper School'!B11+'[2]Lower School'!B11</f>
        <v>0</v>
      </c>
      <c r="C11" s="20">
        <f>'[2]Upper School'!C11+'[2]Lower School'!C11</f>
        <v>0</v>
      </c>
      <c r="D11" s="20">
        <f>'[2]Upper School'!D11+'[2]Lower School'!D11</f>
        <v>0</v>
      </c>
    </row>
    <row r="12" spans="1:4">
      <c r="A12" s="7" t="s">
        <v>21</v>
      </c>
      <c r="B12" s="20">
        <f>'[2]Upper School'!B12+'[2]Lower School'!B12</f>
        <v>0</v>
      </c>
      <c r="C12" s="20">
        <f>'[2]Upper School'!C12+'[2]Lower School'!C12</f>
        <v>0</v>
      </c>
      <c r="D12" s="20">
        <f>'[2]Upper School'!D12+'[2]Lower School'!D12</f>
        <v>0</v>
      </c>
    </row>
    <row r="13" spans="1:4">
      <c r="A13" s="7" t="s">
        <v>24</v>
      </c>
      <c r="B13" s="20">
        <f>'[2]Upper School'!B13+'[2]Lower School'!B13</f>
        <v>0</v>
      </c>
      <c r="C13" s="20">
        <f>'[2]Upper School'!C13+'[2]Lower School'!C13</f>
        <v>215901</v>
      </c>
      <c r="D13" s="20">
        <f>'[2]Upper School'!D13+'[2]Lower School'!D13</f>
        <v>0</v>
      </c>
    </row>
    <row r="14" spans="1:4">
      <c r="A14" s="7" t="s">
        <v>31</v>
      </c>
      <c r="B14" s="20">
        <f>'[2]Upper School'!B14+'[2]Lower School'!B14</f>
        <v>0</v>
      </c>
      <c r="C14" s="20">
        <f>'[2]Upper School'!C14+'[2]Lower School'!C14</f>
        <v>0</v>
      </c>
      <c r="D14" s="20">
        <f>'[2]Upper School'!D14+'[2]Lower School'!D14</f>
        <v>0</v>
      </c>
    </row>
    <row r="15" spans="1:4">
      <c r="A15" s="3" t="s">
        <v>6</v>
      </c>
      <c r="B15" s="20">
        <f>SUM(B2:B14)</f>
        <v>463714.45</v>
      </c>
      <c r="C15" s="20">
        <f>SUM(C2:C14)</f>
        <v>1226945.547002791</v>
      </c>
      <c r="D15" s="20">
        <f>SUM(D2:D14)</f>
        <v>1037355.5714766065</v>
      </c>
    </row>
    <row r="16" spans="1:4">
      <c r="A16" s="7"/>
      <c r="B16" s="7"/>
      <c r="C16" s="20"/>
      <c r="D16" s="20"/>
    </row>
    <row r="17" spans="1:4">
      <c r="A17" s="7"/>
      <c r="B17" s="7"/>
      <c r="C17" s="20"/>
      <c r="D17" s="20"/>
    </row>
    <row r="18" spans="1:4">
      <c r="A18" s="3" t="s">
        <v>7</v>
      </c>
      <c r="B18" s="7"/>
      <c r="C18" s="20"/>
      <c r="D18" s="20"/>
    </row>
    <row r="19" spans="1:4">
      <c r="A19" s="5" t="s">
        <v>19</v>
      </c>
      <c r="B19" s="20">
        <f>'[2]Upper School'!B19+'[2]Lower School'!B19</f>
        <v>95306.58</v>
      </c>
      <c r="C19" s="20">
        <f>'[2]Upper School'!C19+'[2]Lower School'!C19</f>
        <v>98165.777400000006</v>
      </c>
      <c r="D19" s="20">
        <f>'[2]Upper School'!D19+'[2]Lower School'!D19</f>
        <v>101110.75072200001</v>
      </c>
    </row>
    <row r="20" spans="1:4">
      <c r="A20" s="5" t="s">
        <v>20</v>
      </c>
      <c r="B20" s="20">
        <f>'[2]Upper School'!B20+'[2]Lower School'!B20</f>
        <v>189800</v>
      </c>
      <c r="C20" s="20">
        <f>'[2]Upper School'!C20+'[2]Lower School'!C20</f>
        <v>174526</v>
      </c>
      <c r="D20" s="20">
        <f>'[2]Upper School'!D20+'[2]Lower School'!D20</f>
        <v>177977</v>
      </c>
    </row>
    <row r="21" spans="1:4">
      <c r="A21" s="7" t="s">
        <v>2</v>
      </c>
      <c r="B21" s="20">
        <f>'[2]Upper School'!B21+'[2]Lower School'!B21</f>
        <v>0</v>
      </c>
      <c r="C21" s="20">
        <f>'[2]Upper School'!C21+'[2]Lower School'!C21</f>
        <v>0</v>
      </c>
      <c r="D21" s="20">
        <f>'[2]Upper School'!D21+'[2]Lower School'!D21</f>
        <v>0</v>
      </c>
    </row>
    <row r="22" spans="1:4">
      <c r="A22" s="7" t="s">
        <v>3</v>
      </c>
      <c r="B22" s="20">
        <f>'[2]Upper School'!B22+'[2]Lower School'!B22</f>
        <v>7874.7572815533977</v>
      </c>
      <c r="C22" s="20">
        <f>'[2]Upper School'!C22+'[2]Lower School'!C22</f>
        <v>8111</v>
      </c>
      <c r="D22" s="20">
        <f>'[2]Upper School'!D22+'[2]Lower School'!D22</f>
        <v>8354.33</v>
      </c>
    </row>
    <row r="23" spans="1:4">
      <c r="A23" s="7" t="s">
        <v>25</v>
      </c>
      <c r="B23" s="20">
        <f>'[2]Upper School'!B23+'[2]Lower School'!B23</f>
        <v>203334</v>
      </c>
      <c r="C23" s="20">
        <f>'[2]Upper School'!C23+'[2]Lower School'!C23</f>
        <v>203069.38999999998</v>
      </c>
      <c r="D23" s="20">
        <f>'[2]Upper School'!D23+'[2]Lower School'!D23</f>
        <v>199532.40999999997</v>
      </c>
    </row>
    <row r="24" spans="1:4">
      <c r="A24" s="7" t="s">
        <v>8</v>
      </c>
      <c r="B24" s="20">
        <f>'[2]Upper School'!B24+'[2]Lower School'!B24</f>
        <v>0</v>
      </c>
      <c r="C24" s="20">
        <f>'[2]Upper School'!C24+'[2]Lower School'!C24</f>
        <v>0</v>
      </c>
      <c r="D24" s="20">
        <f>'[2]Upper School'!D24+'[2]Lower School'!D24</f>
        <v>0</v>
      </c>
    </row>
    <row r="25" spans="1:4">
      <c r="A25" s="7" t="s">
        <v>4</v>
      </c>
      <c r="B25" s="20">
        <f>'[2]Upper School'!B25+'[2]Lower School'!B25</f>
        <v>211521</v>
      </c>
      <c r="C25" s="20">
        <f>'[2]Upper School'!C25+'[2]Lower School'!C25</f>
        <v>184815.18</v>
      </c>
      <c r="D25" s="20">
        <f>'[2]Upper School'!D25+'[2]Lower School'!D25</f>
        <v>176842.48</v>
      </c>
    </row>
    <row r="26" spans="1:4">
      <c r="A26" s="7" t="s">
        <v>9</v>
      </c>
      <c r="B26" s="20">
        <f>'[2]Upper School'!B26+'[2]Lower School'!B26</f>
        <v>156596.23000000001</v>
      </c>
      <c r="C26" s="20">
        <f>'[2]Upper School'!C26+'[2]Lower School'!C26</f>
        <v>208301.78</v>
      </c>
      <c r="D26" s="20">
        <f>'[2]Upper School'!D26+'[2]Lower School'!D26</f>
        <v>166274.48000000001</v>
      </c>
    </row>
    <row r="27" spans="1:4">
      <c r="A27" s="7" t="s">
        <v>10</v>
      </c>
      <c r="B27" s="20">
        <f>'[2]Upper School'!B27+'[2]Lower School'!B27</f>
        <v>9585</v>
      </c>
      <c r="C27" s="20">
        <f>'[2]Upper School'!C27+'[2]Lower School'!C27</f>
        <v>9585</v>
      </c>
      <c r="D27" s="20">
        <f>'[2]Upper School'!D27+'[2]Lower School'!D27</f>
        <v>9585</v>
      </c>
    </row>
    <row r="28" spans="1:4">
      <c r="A28" s="7" t="s">
        <v>26</v>
      </c>
      <c r="B28" s="20">
        <f>'[2]Upper School'!B28+'[2]Lower School'!B28</f>
        <v>65126</v>
      </c>
      <c r="C28" s="20">
        <f>'[2]Upper School'!C28+'[2]Lower School'!C28</f>
        <v>53000</v>
      </c>
      <c r="D28" s="20">
        <f>'[2]Upper School'!D28+'[2]Lower School'!D28</f>
        <v>0</v>
      </c>
    </row>
    <row r="29" spans="1:4">
      <c r="A29" s="7" t="s">
        <v>31</v>
      </c>
      <c r="B29" s="20">
        <f>'[2]Upper School'!B29+'[2]Lower School'!B29</f>
        <v>0</v>
      </c>
      <c r="C29" s="20">
        <f>'[2]Upper School'!C29+'[2]Lower School'!C29</f>
        <v>0</v>
      </c>
      <c r="D29" s="20">
        <f>'[2]Upper School'!D29+'[2]Lower School'!D29</f>
        <v>0</v>
      </c>
    </row>
    <row r="30" spans="1:4">
      <c r="A30" s="3" t="s">
        <v>12</v>
      </c>
      <c r="B30" s="20">
        <f>SUM(B19:B29)</f>
        <v>939143.56728155341</v>
      </c>
      <c r="C30" s="20">
        <f>SUM(C19:C29)</f>
        <v>939574.12740000011</v>
      </c>
      <c r="D30" s="20">
        <f>SUM(D19:D29)</f>
        <v>839676.45072199998</v>
      </c>
    </row>
    <row r="31" spans="1:4">
      <c r="A31" s="7"/>
      <c r="B31" s="20"/>
      <c r="C31" s="20"/>
      <c r="D31" s="20"/>
    </row>
    <row r="32" spans="1:4">
      <c r="A32" s="7"/>
      <c r="B32" s="20"/>
      <c r="C32" s="20"/>
      <c r="D32" s="20"/>
    </row>
    <row r="33" spans="1:4">
      <c r="A33" s="3" t="s">
        <v>13</v>
      </c>
      <c r="B33" s="20">
        <f>B30+B15</f>
        <v>1402858.0172815535</v>
      </c>
      <c r="C33" s="20">
        <f>C30+C15</f>
        <v>2166519.6744027911</v>
      </c>
      <c r="D33" s="20">
        <f>D30+D15</f>
        <v>1877032.0221986065</v>
      </c>
    </row>
    <row r="35" spans="1:4">
      <c r="A35" s="2" t="s">
        <v>14</v>
      </c>
      <c r="B35">
        <f>'[2]Upper School'!B35+'[2]Lower School'!B35</f>
        <v>372</v>
      </c>
      <c r="C35">
        <f>'[2]Upper School'!C35+'[2]Lower School'!C35</f>
        <v>425</v>
      </c>
      <c r="D35">
        <f>'[2]Upper School'!D35+'[2]Lower School'!D35</f>
        <v>470</v>
      </c>
    </row>
    <row r="37" spans="1:4">
      <c r="A37" s="2" t="s">
        <v>37</v>
      </c>
      <c r="B37" s="21">
        <f>'[2]Upper School'!B37+'[2]Lower School'!B37</f>
        <v>41352</v>
      </c>
      <c r="C37" s="21">
        <f>'[2]Upper School'!C37+'[2]Lower School'!C37</f>
        <v>54024</v>
      </c>
      <c r="D37" s="21">
        <f>'[2]Upper School'!D37+'[2]Lower School'!D37</f>
        <v>54024</v>
      </c>
    </row>
    <row r="38" spans="1:4">
      <c r="A38" s="22" t="s">
        <v>38</v>
      </c>
      <c r="B38" s="23">
        <f>B33/B37</f>
        <v>33.92479244731944</v>
      </c>
      <c r="C38" s="23">
        <f>C33/C37</f>
        <v>40.102911195076096</v>
      </c>
      <c r="D38" s="23">
        <f>D33/D37</f>
        <v>34.744410302802578</v>
      </c>
    </row>
    <row r="40" spans="1:4">
      <c r="A40" s="1" t="s">
        <v>28</v>
      </c>
      <c r="B40" s="24">
        <f>B33/B35</f>
        <v>3771.1237023697672</v>
      </c>
      <c r="C40" s="24">
        <f>C33/C35</f>
        <v>5097.6933515359788</v>
      </c>
      <c r="D40" s="24">
        <f>D33/D35</f>
        <v>3993.6851536140566</v>
      </c>
    </row>
    <row r="42" spans="1:4">
      <c r="A42" s="1" t="s">
        <v>15</v>
      </c>
    </row>
    <row r="43" spans="1:4" hidden="1"/>
    <row r="44" spans="1:4" hidden="1"/>
    <row r="45" spans="1:4">
      <c r="A45" s="1" t="s">
        <v>27</v>
      </c>
      <c r="B45" t="s">
        <v>35</v>
      </c>
    </row>
    <row r="46" spans="1:4">
      <c r="A46" t="s">
        <v>16</v>
      </c>
    </row>
    <row r="48" spans="1:4">
      <c r="A48" t="s">
        <v>17</v>
      </c>
      <c r="B48">
        <f>AVERAGE(140,190)</f>
        <v>165</v>
      </c>
      <c r="C48">
        <f>AVERAGE(140,190)</f>
        <v>165</v>
      </c>
      <c r="D48">
        <f>AVERAGE(140,190)</f>
        <v>165</v>
      </c>
    </row>
    <row r="50" spans="1:4">
      <c r="A50" t="s">
        <v>18</v>
      </c>
      <c r="B50" s="21">
        <f>B37/B35</f>
        <v>111.16129032258064</v>
      </c>
      <c r="C50" s="21">
        <f>C37/C35</f>
        <v>127.11529411764705</v>
      </c>
      <c r="D50" s="21">
        <f>D37/D35</f>
        <v>114.94468085106384</v>
      </c>
    </row>
    <row r="52" spans="1:4">
      <c r="A52" s="1" t="s">
        <v>29</v>
      </c>
      <c r="B52" s="24">
        <f>B40*(B48/B50)</f>
        <v>5597.5907538077072</v>
      </c>
      <c r="C52" s="24">
        <f>C40*(C48/C50)</f>
        <v>6616.9803471875557</v>
      </c>
      <c r="D52" s="24">
        <f>D40*(D48/D50)</f>
        <v>5732.827699962425</v>
      </c>
    </row>
    <row r="53" spans="1:4">
      <c r="B53" s="24"/>
      <c r="C53" s="24"/>
      <c r="D53" s="24"/>
    </row>
    <row r="54" spans="1:4">
      <c r="A54" s="1" t="s">
        <v>30</v>
      </c>
      <c r="B54" s="24">
        <f>B33*(B48/B50)</f>
        <v>2082303.7604164672</v>
      </c>
      <c r="C54" s="24">
        <f>C33*(C48/C50)</f>
        <v>2812216.6475547114</v>
      </c>
      <c r="D54" s="24">
        <f>D33*(D48/D50)</f>
        <v>2694429.0189823397</v>
      </c>
    </row>
  </sheetData>
  <phoneticPr fontId="4" type="noConversion"/>
  <printOptions gridLines="1"/>
  <pageMargins left="0.25" right="0.25" top="1.25" bottom="0.5" header="0.5" footer="0.5"/>
  <pageSetup scale="97"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97">
        <v>230335</v>
      </c>
      <c r="C2" s="97">
        <v>285000</v>
      </c>
      <c r="D2" s="97">
        <v>260000</v>
      </c>
    </row>
    <row r="3" spans="1:4">
      <c r="A3" s="5" t="s">
        <v>20</v>
      </c>
      <c r="B3" s="97">
        <v>402235</v>
      </c>
      <c r="C3" s="97">
        <v>484600</v>
      </c>
      <c r="D3" s="97">
        <v>790000</v>
      </c>
    </row>
    <row r="4" spans="1:4">
      <c r="A4" s="5" t="s">
        <v>1</v>
      </c>
      <c r="B4" s="97">
        <v>503070</v>
      </c>
      <c r="C4" s="97">
        <v>503070</v>
      </c>
      <c r="D4" s="97">
        <v>503070</v>
      </c>
    </row>
    <row r="5" spans="1:4">
      <c r="A5" s="7" t="s">
        <v>11</v>
      </c>
      <c r="B5" s="97"/>
      <c r="C5" s="97"/>
      <c r="D5" s="97"/>
    </row>
    <row r="6" spans="1:4">
      <c r="A6" s="7" t="s">
        <v>2</v>
      </c>
      <c r="B6" s="97"/>
      <c r="C6" s="97"/>
      <c r="D6" s="97"/>
    </row>
    <row r="7" spans="1:4">
      <c r="A7" s="7" t="s">
        <v>3</v>
      </c>
      <c r="B7" s="97">
        <v>22000</v>
      </c>
      <c r="C7" s="97">
        <v>28000</v>
      </c>
      <c r="D7" s="97">
        <v>30000</v>
      </c>
    </row>
    <row r="8" spans="1:4">
      <c r="A8" s="7" t="s">
        <v>22</v>
      </c>
      <c r="B8" s="97">
        <v>227984</v>
      </c>
      <c r="C8" s="97">
        <v>290000</v>
      </c>
      <c r="D8" s="97">
        <v>325000</v>
      </c>
    </row>
    <row r="9" spans="1:4">
      <c r="A9" s="7" t="s">
        <v>23</v>
      </c>
      <c r="B9" s="97"/>
      <c r="C9" s="97"/>
      <c r="D9" s="97"/>
    </row>
    <row r="10" spans="1:4">
      <c r="A10" s="7" t="s">
        <v>4</v>
      </c>
      <c r="B10" s="97"/>
      <c r="C10" s="97"/>
      <c r="D10" s="97"/>
    </row>
    <row r="11" spans="1:4">
      <c r="A11" s="7" t="s">
        <v>5</v>
      </c>
      <c r="B11" s="97"/>
      <c r="C11" s="97"/>
      <c r="D11" s="97"/>
    </row>
    <row r="12" spans="1:4">
      <c r="A12" s="7" t="s">
        <v>21</v>
      </c>
      <c r="B12" s="97"/>
      <c r="C12" s="97"/>
      <c r="D12" s="97"/>
    </row>
    <row r="13" spans="1:4">
      <c r="A13" s="7" t="s">
        <v>24</v>
      </c>
      <c r="B13" s="97">
        <v>1811063</v>
      </c>
      <c r="C13" s="97">
        <v>732856</v>
      </c>
      <c r="D13" s="97">
        <v>1250000</v>
      </c>
    </row>
    <row r="14" spans="1:4">
      <c r="A14" s="7" t="s">
        <v>31</v>
      </c>
      <c r="B14" s="97"/>
      <c r="C14" s="97"/>
      <c r="D14" s="97"/>
    </row>
    <row r="15" spans="1:4">
      <c r="A15" s="3" t="s">
        <v>6</v>
      </c>
      <c r="B15" s="97">
        <f>SUM(B2:B14)</f>
        <v>3196687</v>
      </c>
      <c r="C15" s="97">
        <f>SUM(C2:C14)</f>
        <v>2323526</v>
      </c>
      <c r="D15" s="97">
        <f>SUM(D2:D14)</f>
        <v>3158070</v>
      </c>
    </row>
    <row r="16" spans="1:4">
      <c r="A16" s="7"/>
      <c r="B16" s="97"/>
      <c r="C16" s="97"/>
      <c r="D16" s="97"/>
    </row>
    <row r="17" spans="1:4">
      <c r="A17" s="7"/>
      <c r="B17" s="97"/>
      <c r="C17" s="97"/>
      <c r="D17" s="97"/>
    </row>
    <row r="18" spans="1:4">
      <c r="A18" s="3" t="s">
        <v>7</v>
      </c>
      <c r="B18" s="97"/>
      <c r="C18" s="97"/>
      <c r="D18" s="97"/>
    </row>
    <row r="19" spans="1:4">
      <c r="A19" s="5" t="s">
        <v>19</v>
      </c>
      <c r="B19" s="97"/>
      <c r="C19" s="97"/>
      <c r="D19" s="97"/>
    </row>
    <row r="20" spans="1:4">
      <c r="A20" s="5" t="s">
        <v>20</v>
      </c>
      <c r="B20" s="97"/>
      <c r="C20" s="97"/>
      <c r="D20" s="97"/>
    </row>
    <row r="21" spans="1:4">
      <c r="A21" s="7" t="s">
        <v>2</v>
      </c>
      <c r="B21" s="97"/>
      <c r="C21" s="97"/>
      <c r="D21" s="97"/>
    </row>
    <row r="22" spans="1:4">
      <c r="A22" s="7" t="s">
        <v>3</v>
      </c>
      <c r="B22" s="97"/>
      <c r="C22" s="97"/>
      <c r="D22" s="97"/>
    </row>
    <row r="23" spans="1:4">
      <c r="A23" s="7" t="s">
        <v>25</v>
      </c>
      <c r="B23" s="97"/>
      <c r="C23" s="97"/>
      <c r="D23" s="97"/>
    </row>
    <row r="24" spans="1:4">
      <c r="A24" s="7" t="s">
        <v>8</v>
      </c>
      <c r="B24" s="97"/>
      <c r="C24" s="97"/>
      <c r="D24" s="97"/>
    </row>
    <row r="25" spans="1:4">
      <c r="A25" s="7" t="s">
        <v>4</v>
      </c>
      <c r="B25" s="97"/>
      <c r="C25" s="97"/>
      <c r="D25" s="97"/>
    </row>
    <row r="26" spans="1:4">
      <c r="A26" s="7" t="s">
        <v>9</v>
      </c>
      <c r="B26" s="97"/>
      <c r="C26" s="97"/>
      <c r="D26" s="97"/>
    </row>
    <row r="27" spans="1:4">
      <c r="A27" s="7" t="s">
        <v>10</v>
      </c>
      <c r="B27" s="97"/>
      <c r="C27" s="97"/>
      <c r="D27" s="97"/>
    </row>
    <row r="28" spans="1:4">
      <c r="A28" s="7" t="s">
        <v>26</v>
      </c>
      <c r="B28" s="97"/>
      <c r="C28" s="97"/>
      <c r="D28" s="97"/>
    </row>
    <row r="29" spans="1:4">
      <c r="A29" s="7" t="s">
        <v>31</v>
      </c>
      <c r="B29" s="97"/>
      <c r="C29" s="97"/>
      <c r="D29" s="97"/>
    </row>
    <row r="30" spans="1:4">
      <c r="A30" s="3" t="s">
        <v>12</v>
      </c>
      <c r="B30" s="97">
        <f>SUM(B19:B29)</f>
        <v>0</v>
      </c>
      <c r="C30" s="97">
        <f>SUM(C19:C29)</f>
        <v>0</v>
      </c>
      <c r="D30" s="97">
        <f>SUM(D19:D29)</f>
        <v>0</v>
      </c>
    </row>
    <row r="31" spans="1:4">
      <c r="A31" s="7"/>
      <c r="B31" s="97"/>
      <c r="C31" s="97"/>
      <c r="D31" s="97"/>
    </row>
    <row r="32" spans="1:4">
      <c r="A32" s="7"/>
      <c r="B32" s="97"/>
      <c r="C32" s="97"/>
      <c r="D32" s="97"/>
    </row>
    <row r="33" spans="1:4">
      <c r="A33" s="3" t="s">
        <v>13</v>
      </c>
      <c r="B33" s="97">
        <f>B30+B15</f>
        <v>3196687</v>
      </c>
      <c r="C33" s="97">
        <f>C30+C15</f>
        <v>2323526</v>
      </c>
      <c r="D33" s="97">
        <f>D30+D15</f>
        <v>3158070</v>
      </c>
    </row>
    <row r="35" spans="1:4">
      <c r="A35" s="2" t="s">
        <v>14</v>
      </c>
      <c r="B35">
        <v>573</v>
      </c>
      <c r="C35">
        <v>668</v>
      </c>
      <c r="D35">
        <v>675</v>
      </c>
    </row>
    <row r="37" spans="1:4">
      <c r="A37" s="1" t="s">
        <v>28</v>
      </c>
      <c r="D37" s="49">
        <f>D33/D35</f>
        <v>4678.6222222222223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  <c r="D42" s="59">
        <v>170</v>
      </c>
    </row>
    <row r="43" spans="1:4">
      <c r="A43" t="s">
        <v>16</v>
      </c>
      <c r="D43">
        <v>133.33000000000001</v>
      </c>
    </row>
    <row r="45" spans="1:4">
      <c r="A45" t="s">
        <v>17</v>
      </c>
      <c r="D45" s="59">
        <v>170</v>
      </c>
    </row>
    <row r="47" spans="1:4">
      <c r="A47" t="s">
        <v>18</v>
      </c>
      <c r="D47">
        <v>138.88999999999999</v>
      </c>
    </row>
    <row r="49" spans="1:4">
      <c r="A49" s="1" t="s">
        <v>29</v>
      </c>
      <c r="D49" s="49">
        <v>4794.12</v>
      </c>
    </row>
    <row r="51" spans="1:4">
      <c r="A51" s="1" t="s">
        <v>30</v>
      </c>
      <c r="D51" s="49">
        <v>3760.1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/>
  <dimension ref="A1:D51"/>
  <sheetViews>
    <sheetView topLeftCell="A16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88"/>
      <c r="C2" s="87"/>
      <c r="D2" s="87"/>
    </row>
    <row r="3" spans="1:4">
      <c r="A3" s="5" t="s">
        <v>20</v>
      </c>
      <c r="B3" s="86">
        <f>35411+35994+1039+10400+54825+16940</f>
        <v>154609</v>
      </c>
      <c r="C3" s="86">
        <f>174749-C5</f>
        <v>100900</v>
      </c>
      <c r="D3" s="86">
        <f>636605-D4-D5</f>
        <v>100600</v>
      </c>
    </row>
    <row r="4" spans="1:4">
      <c r="A4" s="5" t="s">
        <v>1</v>
      </c>
      <c r="B4" s="88">
        <v>437477</v>
      </c>
      <c r="C4" s="88">
        <f>38512.75*12</f>
        <v>462153</v>
      </c>
      <c r="D4" s="88">
        <v>462156</v>
      </c>
    </row>
    <row r="5" spans="1:4">
      <c r="A5" s="7" t="s">
        <v>11</v>
      </c>
      <c r="B5" s="88">
        <v>75174</v>
      </c>
      <c r="C5" s="88">
        <v>73849</v>
      </c>
      <c r="D5" s="88">
        <v>73849</v>
      </c>
    </row>
    <row r="6" spans="1:4">
      <c r="A6" s="7" t="s">
        <v>2</v>
      </c>
      <c r="B6" s="88"/>
      <c r="C6" s="88"/>
      <c r="D6" s="88"/>
    </row>
    <row r="7" spans="1:4">
      <c r="A7" s="7" t="s">
        <v>3</v>
      </c>
      <c r="B7" s="88"/>
      <c r="C7" s="88"/>
      <c r="D7" s="88"/>
    </row>
    <row r="8" spans="1:4">
      <c r="A8" s="7" t="s">
        <v>22</v>
      </c>
      <c r="B8" s="88"/>
      <c r="C8" s="88"/>
      <c r="D8" s="88"/>
    </row>
    <row r="9" spans="1:4">
      <c r="A9" s="7" t="s">
        <v>23</v>
      </c>
      <c r="B9" s="88"/>
      <c r="C9" s="88"/>
      <c r="D9" s="88"/>
    </row>
    <row r="10" spans="1:4">
      <c r="A10" s="7" t="s">
        <v>4</v>
      </c>
      <c r="B10" s="88"/>
      <c r="C10" s="88"/>
      <c r="D10" s="88"/>
    </row>
    <row r="11" spans="1:4">
      <c r="A11" s="7" t="s">
        <v>5</v>
      </c>
      <c r="B11" s="88">
        <v>86131</v>
      </c>
      <c r="C11" s="88">
        <v>77620</v>
      </c>
      <c r="D11" s="88">
        <v>109747</v>
      </c>
    </row>
    <row r="12" spans="1:4">
      <c r="A12" s="7" t="s">
        <v>21</v>
      </c>
      <c r="B12" s="88"/>
      <c r="C12" s="88"/>
      <c r="D12" s="88"/>
    </row>
    <row r="13" spans="1:4">
      <c r="A13" s="7" t="s">
        <v>24</v>
      </c>
      <c r="B13" s="88">
        <v>84464</v>
      </c>
      <c r="C13" s="88">
        <v>55000</v>
      </c>
      <c r="D13" s="88">
        <v>25000</v>
      </c>
    </row>
    <row r="14" spans="1:4">
      <c r="A14" s="7" t="s">
        <v>31</v>
      </c>
      <c r="B14" s="88"/>
      <c r="C14" s="88"/>
      <c r="D14" s="88"/>
    </row>
    <row r="15" spans="1:4">
      <c r="A15" s="3" t="s">
        <v>6</v>
      </c>
      <c r="B15" s="88">
        <f>SUM(B2:B14)</f>
        <v>837855</v>
      </c>
      <c r="C15" s="88">
        <f>SUM(C2:C14)</f>
        <v>769522</v>
      </c>
      <c r="D15" s="88">
        <f>SUM(D2:D14)</f>
        <v>771352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7"/>
      <c r="C19" s="7"/>
      <c r="D19" s="7"/>
    </row>
    <row r="20" spans="1:4">
      <c r="A20" s="5" t="s">
        <v>20</v>
      </c>
      <c r="B20" s="7"/>
      <c r="C20" s="7"/>
      <c r="D20" s="7"/>
    </row>
    <row r="21" spans="1:4">
      <c r="A21" s="7" t="s">
        <v>2</v>
      </c>
      <c r="B21" s="7"/>
      <c r="C21" s="7"/>
      <c r="D21" s="7"/>
    </row>
    <row r="22" spans="1:4">
      <c r="A22" s="7" t="s">
        <v>3</v>
      </c>
      <c r="B22" s="7"/>
      <c r="C22" s="7"/>
      <c r="D22" s="7"/>
    </row>
    <row r="23" spans="1:4">
      <c r="A23" s="7" t="s">
        <v>25</v>
      </c>
      <c r="B23" s="7"/>
      <c r="C23" s="7"/>
      <c r="D23" s="7"/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7"/>
      <c r="C25" s="7"/>
      <c r="D25" s="7"/>
    </row>
    <row r="26" spans="1:4">
      <c r="A26" s="7" t="s">
        <v>9</v>
      </c>
      <c r="B26" s="7"/>
      <c r="C26" s="7"/>
      <c r="D26" s="7"/>
    </row>
    <row r="27" spans="1:4">
      <c r="A27" s="7" t="s">
        <v>10</v>
      </c>
      <c r="B27" s="7"/>
      <c r="C27" s="7"/>
      <c r="D27" s="7"/>
    </row>
    <row r="28" spans="1:4">
      <c r="A28" s="7" t="s">
        <v>26</v>
      </c>
      <c r="B28" s="7"/>
      <c r="C28" s="7"/>
      <c r="D28" s="7"/>
    </row>
    <row r="29" spans="1:4">
      <c r="A29" s="7" t="s">
        <v>31</v>
      </c>
      <c r="B29" s="7"/>
      <c r="C29" s="7"/>
      <c r="D29" s="7"/>
    </row>
    <row r="30" spans="1:4">
      <c r="A30" s="3" t="s">
        <v>12</v>
      </c>
      <c r="B30" s="7">
        <f>SUM(B19:B29)</f>
        <v>0</v>
      </c>
      <c r="C30" s="7">
        <f>SUM(C19:C29)</f>
        <v>0</v>
      </c>
      <c r="D30" s="7">
        <f>SUM(D19:D29)</f>
        <v>0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7">
        <f>B30+B15</f>
        <v>837855</v>
      </c>
      <c r="C33" s="7">
        <f>C30+C15</f>
        <v>769522</v>
      </c>
      <c r="D33" s="7">
        <f>D30+D15</f>
        <v>771352</v>
      </c>
    </row>
    <row r="34" spans="1:4">
      <c r="B34" s="98"/>
    </row>
    <row r="35" spans="1:4">
      <c r="A35" s="2" t="s">
        <v>14</v>
      </c>
      <c r="B35">
        <v>216</v>
      </c>
      <c r="C35">
        <v>298</v>
      </c>
      <c r="D35">
        <v>320</v>
      </c>
    </row>
    <row r="37" spans="1:4">
      <c r="A37" s="1" t="s">
        <v>28</v>
      </c>
      <c r="B37" s="24">
        <f>+B33/B35</f>
        <v>3878.9583333333335</v>
      </c>
      <c r="C37" s="24">
        <f>+C33/C35</f>
        <v>2582.2885906040269</v>
      </c>
      <c r="D37" s="24">
        <f>+D33/D35</f>
        <v>2410.4749999999999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</row>
    <row r="43" spans="1:4">
      <c r="A43" t="s">
        <v>16</v>
      </c>
      <c r="B43" s="35" t="s">
        <v>65</v>
      </c>
      <c r="C43" s="35" t="s">
        <v>65</v>
      </c>
      <c r="D43" s="35" t="s">
        <v>65</v>
      </c>
    </row>
    <row r="45" spans="1:4">
      <c r="A45" t="s">
        <v>17</v>
      </c>
      <c r="B45">
        <v>140</v>
      </c>
      <c r="C45">
        <v>140</v>
      </c>
      <c r="D45">
        <v>140</v>
      </c>
    </row>
    <row r="47" spans="1:4">
      <c r="A47" t="s">
        <v>18</v>
      </c>
      <c r="B47" s="21">
        <f>21649/216</f>
        <v>100.22685185185185</v>
      </c>
      <c r="C47" s="21">
        <f>21649/216</f>
        <v>100.22685185185185</v>
      </c>
      <c r="D47" s="21">
        <f>21649/216</f>
        <v>100.22685185185185</v>
      </c>
    </row>
    <row r="48" spans="1:4">
      <c r="B48" s="13">
        <f>+B45/B47</f>
        <v>1.3968312624139683</v>
      </c>
      <c r="C48" s="13">
        <f>+C45/C47</f>
        <v>1.3968312624139683</v>
      </c>
      <c r="D48" s="13">
        <f>+D45/D47</f>
        <v>1.3968312624139683</v>
      </c>
    </row>
    <row r="49" spans="1:4">
      <c r="A49" s="1" t="s">
        <v>29</v>
      </c>
      <c r="B49" s="21">
        <f>+B37*B48</f>
        <v>5418.2502656011829</v>
      </c>
      <c r="C49" s="21">
        <f>+C37*C48</f>
        <v>3607.0214319306097</v>
      </c>
      <c r="D49" s="21">
        <f>+D37*D48</f>
        <v>3367.0268372673099</v>
      </c>
    </row>
    <row r="50" spans="1:4">
      <c r="B50" s="21"/>
      <c r="C50" s="21"/>
      <c r="D50" s="21"/>
    </row>
    <row r="51" spans="1:4">
      <c r="A51" s="1" t="s">
        <v>30</v>
      </c>
      <c r="B51" s="21">
        <f>+B33*B48</f>
        <v>1170342.0573698555</v>
      </c>
      <c r="C51" s="21">
        <f>+C33*C48</f>
        <v>1074892.3867153218</v>
      </c>
      <c r="D51" s="21">
        <f>+D33*D48</f>
        <v>1077448.5879255394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&amp;LPotomac Lighthouse Public Charter School&amp;CDC PUBLIC CHARTER SCHOOL
FACILITY COST TEMPLATE&amp;RSITE: _4401 8th Street NE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pageSetUpPr fitToPage="1"/>
  </sheetPr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62"/>
      <c r="C2" s="62"/>
      <c r="D2" s="62"/>
    </row>
    <row r="3" spans="1:4">
      <c r="A3" s="5" t="s">
        <v>20</v>
      </c>
      <c r="B3" s="62"/>
      <c r="C3" s="62"/>
      <c r="D3" s="62"/>
    </row>
    <row r="4" spans="1:4">
      <c r="A4" s="5" t="s">
        <v>1</v>
      </c>
      <c r="B4" s="99"/>
      <c r="C4" s="99"/>
      <c r="D4" s="99"/>
    </row>
    <row r="5" spans="1:4">
      <c r="A5" s="7" t="s">
        <v>11</v>
      </c>
      <c r="B5" s="99"/>
      <c r="C5" s="99"/>
      <c r="D5" s="99"/>
    </row>
    <row r="6" spans="1:4">
      <c r="A6" s="7" t="s">
        <v>2</v>
      </c>
      <c r="B6" s="99"/>
      <c r="C6" s="99"/>
      <c r="D6" s="99"/>
    </row>
    <row r="7" spans="1:4">
      <c r="A7" s="7" t="s">
        <v>3</v>
      </c>
      <c r="B7" s="99"/>
      <c r="C7" s="99"/>
      <c r="D7" s="99"/>
    </row>
    <row r="8" spans="1:4">
      <c r="A8" s="7" t="s">
        <v>22</v>
      </c>
      <c r="B8" s="99"/>
      <c r="C8" s="99"/>
      <c r="D8" s="99"/>
    </row>
    <row r="9" spans="1:4">
      <c r="A9" s="7" t="s">
        <v>23</v>
      </c>
      <c r="B9" s="99"/>
      <c r="C9" s="99"/>
      <c r="D9" s="99"/>
    </row>
    <row r="10" spans="1:4">
      <c r="A10" s="7" t="s">
        <v>4</v>
      </c>
      <c r="B10" s="99"/>
      <c r="C10" s="99"/>
      <c r="D10" s="99"/>
    </row>
    <row r="11" spans="1:4">
      <c r="A11" s="7" t="s">
        <v>5</v>
      </c>
      <c r="B11" s="99"/>
      <c r="C11" s="99"/>
      <c r="D11" s="99"/>
    </row>
    <row r="12" spans="1:4">
      <c r="A12" s="7" t="s">
        <v>21</v>
      </c>
      <c r="B12" s="99"/>
      <c r="C12" s="99"/>
      <c r="D12" s="99"/>
    </row>
    <row r="13" spans="1:4">
      <c r="A13" s="7" t="s">
        <v>24</v>
      </c>
      <c r="B13" s="99"/>
      <c r="C13" s="99"/>
      <c r="D13" s="99"/>
    </row>
    <row r="14" spans="1:4">
      <c r="A14" s="7" t="s">
        <v>31</v>
      </c>
      <c r="B14" s="58"/>
      <c r="C14" s="58"/>
      <c r="D14" s="58"/>
    </row>
    <row r="15" spans="1:4">
      <c r="A15" s="3" t="s">
        <v>6</v>
      </c>
      <c r="B15" s="78">
        <f>SUM(B2:B14)</f>
        <v>0</v>
      </c>
      <c r="C15" s="78">
        <f>SUM(C2:C14)</f>
        <v>0</v>
      </c>
      <c r="D15" s="78">
        <f>SUM(D2:D14)</f>
        <v>0</v>
      </c>
    </row>
    <row r="16" spans="1:4">
      <c r="A16" s="7"/>
      <c r="B16" s="58"/>
      <c r="C16" s="58"/>
      <c r="D16" s="58"/>
    </row>
    <row r="17" spans="1:4">
      <c r="A17" s="7"/>
      <c r="B17" s="58"/>
      <c r="C17" s="58"/>
      <c r="D17" s="58"/>
    </row>
    <row r="18" spans="1:4">
      <c r="A18" s="3" t="s">
        <v>7</v>
      </c>
      <c r="B18" s="58"/>
      <c r="C18" s="58"/>
      <c r="D18" s="58"/>
    </row>
    <row r="19" spans="1:4">
      <c r="A19" s="5" t="s">
        <v>19</v>
      </c>
      <c r="B19" s="58">
        <v>392283</v>
      </c>
      <c r="C19" s="58">
        <f>+B19*1.03</f>
        <v>404051.49</v>
      </c>
      <c r="D19" s="58">
        <f>+C19*1.03</f>
        <v>416173.03470000002</v>
      </c>
    </row>
    <row r="20" spans="1:4">
      <c r="A20" s="5" t="s">
        <v>20</v>
      </c>
      <c r="B20" s="58">
        <f>68112+27427+7823</f>
        <v>103362</v>
      </c>
      <c r="C20" s="58">
        <f>30070+22113+70000</f>
        <v>122183</v>
      </c>
      <c r="D20" s="58">
        <f>+C20*1.03</f>
        <v>125848.49</v>
      </c>
    </row>
    <row r="21" spans="1:4">
      <c r="A21" s="7" t="s">
        <v>2</v>
      </c>
      <c r="B21" s="58">
        <v>12000</v>
      </c>
      <c r="C21" s="58">
        <v>12000</v>
      </c>
      <c r="D21" s="58">
        <v>12000</v>
      </c>
    </row>
    <row r="22" spans="1:4">
      <c r="A22" s="7" t="s">
        <v>3</v>
      </c>
      <c r="B22" s="58">
        <v>41563</v>
      </c>
      <c r="C22" s="58">
        <v>45000</v>
      </c>
      <c r="D22" s="58">
        <f>+C22*1.03</f>
        <v>46350</v>
      </c>
    </row>
    <row r="23" spans="1:4">
      <c r="A23" s="7" t="s">
        <v>25</v>
      </c>
      <c r="B23" s="58">
        <v>1026194</v>
      </c>
      <c r="C23" s="58">
        <v>1050000</v>
      </c>
      <c r="D23" s="58">
        <v>1100000</v>
      </c>
    </row>
    <row r="24" spans="1:4">
      <c r="A24" s="7" t="s">
        <v>8</v>
      </c>
      <c r="B24" s="58"/>
      <c r="C24" s="58"/>
      <c r="D24" s="58"/>
    </row>
    <row r="25" spans="1:4">
      <c r="A25" s="7" t="s">
        <v>4</v>
      </c>
      <c r="B25" s="58">
        <v>232243.32</v>
      </c>
      <c r="C25" s="58">
        <v>350000</v>
      </c>
      <c r="D25" s="58">
        <f>+C25*1.05</f>
        <v>367500</v>
      </c>
    </row>
    <row r="26" spans="1:4">
      <c r="A26" s="7" t="s">
        <v>9</v>
      </c>
      <c r="B26" s="58">
        <v>610000</v>
      </c>
      <c r="C26" s="58">
        <v>640000</v>
      </c>
      <c r="D26" s="58">
        <v>670000</v>
      </c>
    </row>
    <row r="27" spans="1:4">
      <c r="A27" s="7" t="s">
        <v>10</v>
      </c>
      <c r="B27" s="58">
        <v>28619</v>
      </c>
      <c r="C27" s="58">
        <v>47000</v>
      </c>
      <c r="D27" s="58">
        <v>35000</v>
      </c>
    </row>
    <row r="28" spans="1:4">
      <c r="A28" s="7" t="s">
        <v>26</v>
      </c>
      <c r="B28" s="58">
        <v>439281.16</v>
      </c>
      <c r="C28" s="58">
        <v>510000</v>
      </c>
      <c r="D28" s="58">
        <v>500000</v>
      </c>
    </row>
    <row r="29" spans="1:4">
      <c r="A29" s="7" t="s">
        <v>31</v>
      </c>
      <c r="B29" s="58">
        <v>200000</v>
      </c>
      <c r="C29" s="58">
        <v>200000</v>
      </c>
      <c r="D29" s="58">
        <v>200000</v>
      </c>
    </row>
    <row r="30" spans="1:4">
      <c r="A30" s="3" t="s">
        <v>12</v>
      </c>
      <c r="B30" s="58">
        <f>SUM(B19:B29)</f>
        <v>3085545.4800000004</v>
      </c>
      <c r="C30" s="58">
        <f>SUM(C19:C29)</f>
        <v>3380234.49</v>
      </c>
      <c r="D30" s="58">
        <f>SUM(D19:D29)</f>
        <v>3472871.5247</v>
      </c>
    </row>
    <row r="31" spans="1:4">
      <c r="A31" s="7"/>
      <c r="B31" s="58"/>
      <c r="C31" s="58"/>
      <c r="D31" s="58"/>
    </row>
    <row r="32" spans="1:4">
      <c r="A32" s="7"/>
      <c r="B32" s="58"/>
      <c r="C32" s="58"/>
      <c r="D32" s="58"/>
    </row>
    <row r="33" spans="1:4">
      <c r="A33" s="3" t="s">
        <v>13</v>
      </c>
      <c r="B33" s="58">
        <f>B30+B15</f>
        <v>3085545.4800000004</v>
      </c>
      <c r="C33" s="58">
        <f>C30+C15</f>
        <v>3380234.49</v>
      </c>
      <c r="D33" s="58">
        <f>D30+D15</f>
        <v>3472871.5247</v>
      </c>
    </row>
    <row r="35" spans="1:4">
      <c r="A35" s="2" t="s">
        <v>14</v>
      </c>
      <c r="B35">
        <v>329</v>
      </c>
      <c r="C35">
        <v>337</v>
      </c>
      <c r="D35">
        <v>339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scale="11" orientation="portrait" blackAndWhite="1"/>
  <headerFooter alignWithMargins="0">
    <oddHeader>&amp;LSCHOOL:__SEED PCS______&amp;CDC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/>
  <dimension ref="A1:F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2.33203125" customWidth="1"/>
    <col min="2" max="2" width="17.83203125" customWidth="1"/>
    <col min="3" max="3" width="15.33203125" customWidth="1"/>
    <col min="4" max="4" width="16.1640625" customWidth="1"/>
  </cols>
  <sheetData>
    <row r="1" spans="1:6" ht="24">
      <c r="A1" s="3" t="s">
        <v>0</v>
      </c>
      <c r="B1" s="4" t="s">
        <v>66</v>
      </c>
      <c r="C1" s="4" t="s">
        <v>67</v>
      </c>
      <c r="D1" s="4" t="s">
        <v>68</v>
      </c>
      <c r="E1" s="100"/>
      <c r="F1" s="64"/>
    </row>
    <row r="2" spans="1:6">
      <c r="A2" s="5" t="s">
        <v>19</v>
      </c>
      <c r="B2" s="101">
        <f>11832</f>
        <v>11832</v>
      </c>
      <c r="C2" s="101">
        <v>11832</v>
      </c>
      <c r="D2" s="101">
        <v>24930</v>
      </c>
    </row>
    <row r="3" spans="1:6">
      <c r="A3" s="5" t="s">
        <v>20</v>
      </c>
      <c r="B3" s="101">
        <f>18545+452+1790+(68000*0.25)</f>
        <v>37787</v>
      </c>
      <c r="C3" s="101">
        <f>6436+15017+5363+30081</f>
        <v>56897</v>
      </c>
      <c r="D3" s="101">
        <f>C3*1.1</f>
        <v>62586.700000000004</v>
      </c>
    </row>
    <row r="4" spans="1:6">
      <c r="A4" s="5" t="s">
        <v>1</v>
      </c>
      <c r="B4" s="101">
        <v>71510</v>
      </c>
      <c r="C4" s="101">
        <v>71510</v>
      </c>
      <c r="D4" s="101">
        <v>134000</v>
      </c>
    </row>
    <row r="5" spans="1:6">
      <c r="A5" s="7" t="s">
        <v>11</v>
      </c>
      <c r="B5" s="102"/>
      <c r="C5" s="102"/>
      <c r="D5" s="101"/>
    </row>
    <row r="6" spans="1:6">
      <c r="A6" s="7" t="s">
        <v>2</v>
      </c>
      <c r="B6" s="102"/>
      <c r="C6" s="102"/>
      <c r="D6" s="101"/>
    </row>
    <row r="7" spans="1:6">
      <c r="A7" s="7" t="s">
        <v>3</v>
      </c>
      <c r="B7" s="101">
        <v>11219</v>
      </c>
      <c r="C7" s="101">
        <v>17822</v>
      </c>
      <c r="D7" s="101">
        <f>C7*1.1</f>
        <v>19604.2</v>
      </c>
    </row>
    <row r="8" spans="1:6">
      <c r="A8" s="7" t="s">
        <v>22</v>
      </c>
      <c r="B8" s="102"/>
      <c r="C8" s="102"/>
      <c r="D8" s="101"/>
    </row>
    <row r="9" spans="1:6">
      <c r="A9" s="7" t="s">
        <v>23</v>
      </c>
      <c r="B9" s="102"/>
      <c r="C9" s="102"/>
      <c r="D9" s="101"/>
    </row>
    <row r="10" spans="1:6">
      <c r="A10" s="7" t="s">
        <v>4</v>
      </c>
      <c r="B10" s="102"/>
      <c r="C10" s="102"/>
      <c r="D10" s="101"/>
    </row>
    <row r="11" spans="1:6">
      <c r="A11" s="7" t="s">
        <v>5</v>
      </c>
      <c r="B11" s="102"/>
      <c r="C11" s="102"/>
      <c r="D11" s="101"/>
    </row>
    <row r="12" spans="1:6">
      <c r="A12" s="7" t="s">
        <v>21</v>
      </c>
      <c r="B12" s="102"/>
      <c r="C12" s="102"/>
      <c r="D12" s="101"/>
    </row>
    <row r="13" spans="1:6">
      <c r="A13" s="7" t="s">
        <v>24</v>
      </c>
      <c r="B13" s="102"/>
      <c r="C13" s="102"/>
      <c r="D13" s="101"/>
    </row>
    <row r="14" spans="1:6">
      <c r="A14" s="7" t="s">
        <v>69</v>
      </c>
      <c r="B14" s="101">
        <v>55749</v>
      </c>
      <c r="C14" s="101">
        <v>177099</v>
      </c>
      <c r="D14" s="101">
        <f>(170*2800)-241120</f>
        <v>234880</v>
      </c>
      <c r="E14" s="103"/>
    </row>
    <row r="15" spans="1:6">
      <c r="A15" s="3" t="s">
        <v>6</v>
      </c>
      <c r="B15" s="101">
        <f>SUM(B2:B14)</f>
        <v>188097</v>
      </c>
      <c r="C15" s="101">
        <f>SUM(C2:C14)</f>
        <v>335160</v>
      </c>
      <c r="D15" s="101">
        <f>SUM(D2:D14)</f>
        <v>476000.9</v>
      </c>
      <c r="E15" s="13"/>
    </row>
    <row r="16" spans="1:6">
      <c r="A16" s="7"/>
      <c r="B16" s="102"/>
      <c r="C16" s="101"/>
      <c r="D16" s="101"/>
    </row>
    <row r="17" spans="1:4">
      <c r="A17" s="7"/>
      <c r="B17" s="102"/>
      <c r="C17" s="101"/>
      <c r="D17" s="101"/>
    </row>
    <row r="18" spans="1:4">
      <c r="A18" s="3" t="s">
        <v>7</v>
      </c>
      <c r="B18" s="102"/>
      <c r="C18" s="101"/>
      <c r="D18" s="101"/>
    </row>
    <row r="19" spans="1:4">
      <c r="A19" s="5" t="s">
        <v>19</v>
      </c>
      <c r="B19" s="102"/>
      <c r="C19" s="101"/>
      <c r="D19" s="101"/>
    </row>
    <row r="20" spans="1:4">
      <c r="A20" s="5" t="s">
        <v>20</v>
      </c>
      <c r="B20" s="102"/>
      <c r="C20" s="101"/>
      <c r="D20" s="101"/>
    </row>
    <row r="21" spans="1:4">
      <c r="A21" s="7" t="s">
        <v>2</v>
      </c>
      <c r="B21" s="102"/>
      <c r="C21" s="101"/>
      <c r="D21" s="101"/>
    </row>
    <row r="22" spans="1:4">
      <c r="A22" s="7" t="s">
        <v>3</v>
      </c>
      <c r="B22" s="102"/>
      <c r="C22" s="101"/>
      <c r="D22" s="101"/>
    </row>
    <row r="23" spans="1:4">
      <c r="A23" s="7" t="s">
        <v>25</v>
      </c>
      <c r="B23" s="102"/>
      <c r="C23" s="101"/>
      <c r="D23" s="101"/>
    </row>
    <row r="24" spans="1:4">
      <c r="A24" s="7" t="s">
        <v>8</v>
      </c>
      <c r="B24" s="102"/>
      <c r="C24" s="101"/>
      <c r="D24" s="101"/>
    </row>
    <row r="25" spans="1:4">
      <c r="A25" s="7" t="s">
        <v>4</v>
      </c>
      <c r="B25" s="102"/>
      <c r="C25" s="101"/>
      <c r="D25" s="101"/>
    </row>
    <row r="26" spans="1:4">
      <c r="A26" s="7" t="s">
        <v>9</v>
      </c>
      <c r="B26" s="102"/>
      <c r="C26" s="101"/>
      <c r="D26" s="101"/>
    </row>
    <row r="27" spans="1:4">
      <c r="A27" s="7" t="s">
        <v>10</v>
      </c>
      <c r="B27" s="102"/>
      <c r="C27" s="101"/>
      <c r="D27" s="101"/>
    </row>
    <row r="28" spans="1:4">
      <c r="A28" s="7" t="s">
        <v>26</v>
      </c>
      <c r="B28" s="102"/>
      <c r="C28" s="101"/>
      <c r="D28" s="101"/>
    </row>
    <row r="29" spans="1:4">
      <c r="A29" s="7" t="s">
        <v>31</v>
      </c>
      <c r="B29" s="102"/>
      <c r="C29" s="101"/>
      <c r="D29" s="101"/>
    </row>
    <row r="30" spans="1:4">
      <c r="A30" s="3" t="s">
        <v>12</v>
      </c>
      <c r="B30" s="102">
        <f>SUM(B19:B29)</f>
        <v>0</v>
      </c>
      <c r="C30" s="101">
        <f>SUM(C19:C29)</f>
        <v>0</v>
      </c>
      <c r="D30" s="101">
        <f>SUM(D19:D29)</f>
        <v>0</v>
      </c>
    </row>
    <row r="31" spans="1:4">
      <c r="A31" s="7"/>
      <c r="B31" s="102"/>
      <c r="C31" s="101"/>
      <c r="D31" s="101"/>
    </row>
    <row r="32" spans="1:4">
      <c r="A32" s="7"/>
      <c r="B32" s="102"/>
      <c r="C32" s="101"/>
      <c r="D32" s="101"/>
    </row>
    <row r="33" spans="1:4">
      <c r="A33" s="3" t="s">
        <v>13</v>
      </c>
      <c r="B33" s="101">
        <f>B30+B15</f>
        <v>188097</v>
      </c>
      <c r="C33" s="101">
        <f>C30+C15</f>
        <v>335160</v>
      </c>
      <c r="D33" s="101">
        <f>D30+D15</f>
        <v>476000.9</v>
      </c>
    </row>
    <row r="35" spans="1:4">
      <c r="A35" s="2" t="s">
        <v>14</v>
      </c>
      <c r="B35" s="14">
        <v>96</v>
      </c>
      <c r="C35" s="14">
        <v>126</v>
      </c>
      <c r="D35" s="14">
        <v>170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s="104"/>
      <c r="C42" s="104"/>
      <c r="D42" s="104"/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  <c r="B47" s="105"/>
      <c r="C47" s="105"/>
      <c r="D47" s="105"/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0.75" bottom="0.75" header="0.3" footer="0.3"/>
  <pageSetup orientation="portrait" blackAndWhite="1"/>
  <headerFooter alignWithMargins="0">
    <oddHeader>&amp;LSCHOOL: Septima Clark PCS&amp;CDC PUBLIC CHARTER SCHOOL
FACILITY COST TEMPLATE&amp;RSITE: 425 Chesapeake St, SE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>
    <pageSetUpPr fitToPage="1"/>
  </sheetPr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6"/>
      <c r="C2" s="6"/>
      <c r="D2" s="6"/>
    </row>
    <row r="3" spans="1:4">
      <c r="A3" s="5" t="s">
        <v>20</v>
      </c>
      <c r="B3" s="6"/>
      <c r="C3" s="6"/>
      <c r="D3" s="6"/>
    </row>
    <row r="4" spans="1:4">
      <c r="A4" s="5" t="s">
        <v>1</v>
      </c>
      <c r="B4" s="7"/>
      <c r="C4" s="7"/>
      <c r="D4" s="7"/>
    </row>
    <row r="5" spans="1:4">
      <c r="A5" s="7" t="s">
        <v>11</v>
      </c>
      <c r="B5" s="7"/>
      <c r="C5" s="7"/>
      <c r="D5" s="7"/>
    </row>
    <row r="6" spans="1:4">
      <c r="A6" s="7" t="s">
        <v>2</v>
      </c>
      <c r="B6" s="7"/>
      <c r="C6" s="7"/>
      <c r="D6" s="7"/>
    </row>
    <row r="7" spans="1:4">
      <c r="A7" s="7" t="s">
        <v>3</v>
      </c>
      <c r="B7" s="7"/>
      <c r="C7" s="7"/>
      <c r="D7" s="7"/>
    </row>
    <row r="8" spans="1:4">
      <c r="A8" s="7" t="s">
        <v>22</v>
      </c>
      <c r="B8" s="7"/>
      <c r="C8" s="7"/>
      <c r="D8" s="7"/>
    </row>
    <row r="9" spans="1:4">
      <c r="A9" s="7" t="s">
        <v>23</v>
      </c>
      <c r="B9" s="7"/>
      <c r="C9" s="7"/>
      <c r="D9" s="7"/>
    </row>
    <row r="10" spans="1:4">
      <c r="A10" s="7" t="s">
        <v>4</v>
      </c>
      <c r="B10" s="7"/>
      <c r="C10" s="7"/>
      <c r="D10" s="7"/>
    </row>
    <row r="11" spans="1:4">
      <c r="A11" s="7" t="s">
        <v>5</v>
      </c>
      <c r="B11" s="7"/>
      <c r="C11" s="7"/>
      <c r="D11" s="7"/>
    </row>
    <row r="12" spans="1:4">
      <c r="A12" s="7" t="s">
        <v>21</v>
      </c>
      <c r="B12" s="7"/>
      <c r="C12" s="7"/>
      <c r="D12" s="7"/>
    </row>
    <row r="13" spans="1:4">
      <c r="A13" s="7" t="s">
        <v>24</v>
      </c>
      <c r="B13" s="7"/>
      <c r="C13" s="7"/>
      <c r="D13" s="7"/>
    </row>
    <row r="14" spans="1:4">
      <c r="A14" s="7" t="s">
        <v>31</v>
      </c>
      <c r="B14" s="7"/>
      <c r="C14" s="7"/>
      <c r="D14" s="7"/>
    </row>
    <row r="15" spans="1:4">
      <c r="A15" s="3" t="s">
        <v>6</v>
      </c>
      <c r="B15" s="7">
        <f>SUM(B2:B14)</f>
        <v>0</v>
      </c>
      <c r="C15" s="7">
        <f>SUM(C2:C14)</f>
        <v>0</v>
      </c>
      <c r="D15" s="7">
        <f>SUM(D2:D14)</f>
        <v>0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11">
        <v>273733</v>
      </c>
      <c r="C19" s="7">
        <v>345000</v>
      </c>
      <c r="D19" s="7">
        <v>345000</v>
      </c>
    </row>
    <row r="20" spans="1:4">
      <c r="A20" s="5" t="s">
        <v>20</v>
      </c>
      <c r="B20" s="11">
        <v>590813</v>
      </c>
      <c r="C20" s="7">
        <v>631736</v>
      </c>
      <c r="D20" s="7">
        <v>631736</v>
      </c>
    </row>
    <row r="21" spans="1:4">
      <c r="A21" s="7" t="s">
        <v>2</v>
      </c>
      <c r="B21" s="11"/>
      <c r="C21" s="7"/>
      <c r="D21" s="7"/>
    </row>
    <row r="22" spans="1:4">
      <c r="A22" s="7" t="s">
        <v>3</v>
      </c>
      <c r="B22" s="11">
        <v>102032</v>
      </c>
      <c r="C22" s="7">
        <v>120000</v>
      </c>
      <c r="D22" s="7">
        <v>120000</v>
      </c>
    </row>
    <row r="23" spans="1:4">
      <c r="A23" s="7" t="s">
        <v>25</v>
      </c>
      <c r="B23" s="11">
        <f>1135749-27014</f>
        <v>1108735</v>
      </c>
      <c r="C23" s="7">
        <f>1147000-28548</f>
        <v>1118452</v>
      </c>
      <c r="D23" s="7">
        <v>1118452</v>
      </c>
    </row>
    <row r="24" spans="1:4">
      <c r="A24" s="7" t="s">
        <v>8</v>
      </c>
      <c r="B24" s="11"/>
      <c r="C24" s="7"/>
      <c r="D24" s="7"/>
    </row>
    <row r="25" spans="1:4">
      <c r="A25" s="7" t="s">
        <v>4</v>
      </c>
      <c r="B25" s="11">
        <v>555990</v>
      </c>
      <c r="C25" s="7">
        <v>568390</v>
      </c>
      <c r="D25" s="7">
        <v>568390</v>
      </c>
    </row>
    <row r="26" spans="1:4">
      <c r="A26" s="7" t="s">
        <v>9</v>
      </c>
      <c r="B26" s="11">
        <v>255000</v>
      </c>
      <c r="C26" s="7">
        <v>265000</v>
      </c>
      <c r="D26" s="7">
        <v>280000</v>
      </c>
    </row>
    <row r="27" spans="1:4">
      <c r="A27" s="7" t="s">
        <v>10</v>
      </c>
      <c r="B27" s="11">
        <v>28548</v>
      </c>
      <c r="C27" s="7">
        <v>28548</v>
      </c>
      <c r="D27" s="7">
        <v>28548</v>
      </c>
    </row>
    <row r="28" spans="1:4">
      <c r="A28" s="7" t="s">
        <v>26</v>
      </c>
      <c r="B28" s="11">
        <v>167000</v>
      </c>
      <c r="C28" s="7">
        <v>40000</v>
      </c>
      <c r="D28" s="7">
        <v>40000</v>
      </c>
    </row>
    <row r="29" spans="1:4">
      <c r="A29" s="7" t="s">
        <v>31</v>
      </c>
      <c r="B29" s="11"/>
      <c r="C29" s="7"/>
      <c r="D29" s="7"/>
    </row>
    <row r="30" spans="1:4">
      <c r="A30" s="3" t="s">
        <v>12</v>
      </c>
      <c r="B30" s="11">
        <f>SUM(B19:B29)</f>
        <v>3081851</v>
      </c>
      <c r="C30" s="7">
        <f>SUM(C19:C29)</f>
        <v>3117126</v>
      </c>
      <c r="D30" s="7">
        <f>SUM(D19:D29)</f>
        <v>3132126</v>
      </c>
    </row>
    <row r="31" spans="1:4">
      <c r="A31" s="7"/>
      <c r="B31" s="11"/>
      <c r="C31" s="7"/>
      <c r="D31" s="7"/>
    </row>
    <row r="32" spans="1:4">
      <c r="A32" s="7"/>
      <c r="B32" s="11"/>
      <c r="C32" s="7"/>
      <c r="D32" s="7"/>
    </row>
    <row r="33" spans="1:4">
      <c r="A33" s="3" t="s">
        <v>13</v>
      </c>
      <c r="B33" s="11">
        <f>B30+B15</f>
        <v>3081851</v>
      </c>
      <c r="C33" s="7">
        <f>C30+C15</f>
        <v>3117126</v>
      </c>
      <c r="D33" s="7">
        <f>D30+D15</f>
        <v>3132126</v>
      </c>
    </row>
    <row r="35" spans="1:4">
      <c r="A35" s="2" t="s">
        <v>14</v>
      </c>
      <c r="B35" s="12">
        <f>B33/225</f>
        <v>13697.115555555556</v>
      </c>
      <c r="C35" s="12">
        <f>C33/225</f>
        <v>13853.893333333333</v>
      </c>
      <c r="D35" s="12">
        <f>D33/225</f>
        <v>13920.56</v>
      </c>
    </row>
    <row r="37" spans="1:4">
      <c r="A37" s="1" t="s">
        <v>28</v>
      </c>
      <c r="B37" s="12">
        <v>13697.12</v>
      </c>
      <c r="C37" s="12">
        <v>13853.89</v>
      </c>
      <c r="D37" s="12">
        <v>13920.56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>
        <f>166.67/440</f>
        <v>0.37879545454545449</v>
      </c>
      <c r="C42">
        <f>166.67/440</f>
        <v>0.37879545454545449</v>
      </c>
      <c r="D42">
        <f>166.67/440</f>
        <v>0.37879545454545449</v>
      </c>
    </row>
    <row r="43" spans="1:4">
      <c r="A43" t="s">
        <v>16</v>
      </c>
    </row>
    <row r="45" spans="1:4">
      <c r="A45" t="s">
        <v>17</v>
      </c>
      <c r="B45" s="45" t="s">
        <v>70</v>
      </c>
      <c r="C45" s="45" t="s">
        <v>70</v>
      </c>
      <c r="D45" s="45" t="s">
        <v>70</v>
      </c>
    </row>
    <row r="47" spans="1:4">
      <c r="A47" t="s">
        <v>18</v>
      </c>
      <c r="B47">
        <f>99000/225</f>
        <v>440</v>
      </c>
      <c r="C47">
        <v>440</v>
      </c>
      <c r="D47">
        <v>440</v>
      </c>
    </row>
    <row r="49" spans="1:4">
      <c r="A49" s="1" t="s">
        <v>29</v>
      </c>
      <c r="B49" s="13">
        <f>B35*B42</f>
        <v>5188.4051128282827</v>
      </c>
      <c r="C49" s="13">
        <f>C35*C42</f>
        <v>5247.7918224242421</v>
      </c>
      <c r="D49" s="13">
        <f>D35*D42</f>
        <v>5273.044852727272</v>
      </c>
    </row>
    <row r="51" spans="1:4">
      <c r="A51" s="1" t="s">
        <v>30</v>
      </c>
      <c r="B51">
        <f>B33*B42</f>
        <v>1167391.1503863635</v>
      </c>
      <c r="C51">
        <f>C33*C42</f>
        <v>1180753.1600454543</v>
      </c>
      <c r="D51" s="59">
        <f>D33*D42</f>
        <v>1186435.0918636362</v>
      </c>
    </row>
  </sheetData>
  <phoneticPr fontId="4" type="noConversion"/>
  <printOptions gridLines="1"/>
  <pageMargins left="0.25" right="0.25" top="1.25" bottom="0.5" header="0.5" footer="0.5"/>
  <pageSetup scale="11"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87">
        <v>34662.82</v>
      </c>
      <c r="C2" s="87">
        <v>48000</v>
      </c>
      <c r="D2" s="87">
        <v>60000</v>
      </c>
    </row>
    <row r="3" spans="1:4">
      <c r="A3" s="5" t="s">
        <v>20</v>
      </c>
      <c r="B3" s="87">
        <f>10776.1+2620.29</f>
        <v>13396.39</v>
      </c>
      <c r="C3" s="87">
        <v>48000</v>
      </c>
      <c r="D3" s="87">
        <v>60000</v>
      </c>
    </row>
    <row r="4" spans="1:4">
      <c r="A4" s="5" t="s">
        <v>1</v>
      </c>
      <c r="B4" s="93">
        <f>53375*3</f>
        <v>160125</v>
      </c>
      <c r="C4" s="93">
        <v>234170</v>
      </c>
      <c r="D4" s="93">
        <f>(78375*3)+59625</f>
        <v>294750</v>
      </c>
    </row>
    <row r="5" spans="1:4">
      <c r="A5" s="7" t="s">
        <v>11</v>
      </c>
      <c r="B5" s="93"/>
      <c r="C5" s="93"/>
      <c r="D5" s="93"/>
    </row>
    <row r="6" spans="1:4">
      <c r="A6" s="7" t="s">
        <v>2</v>
      </c>
      <c r="B6" s="93"/>
      <c r="C6" s="93"/>
      <c r="D6" s="93"/>
    </row>
    <row r="7" spans="1:4">
      <c r="A7" s="7" t="s">
        <v>3</v>
      </c>
      <c r="B7" s="93">
        <v>14848</v>
      </c>
      <c r="C7" s="93">
        <v>15231</v>
      </c>
      <c r="D7" s="93">
        <v>18000</v>
      </c>
    </row>
    <row r="8" spans="1:4">
      <c r="A8" s="7" t="s">
        <v>22</v>
      </c>
      <c r="B8" s="93">
        <v>19525.21</v>
      </c>
      <c r="C8" s="93">
        <v>19525.21</v>
      </c>
      <c r="D8" s="93">
        <v>27000</v>
      </c>
    </row>
    <row r="9" spans="1:4">
      <c r="A9" s="7" t="s">
        <v>23</v>
      </c>
      <c r="B9" s="93"/>
      <c r="C9" s="93"/>
      <c r="D9" s="93"/>
    </row>
    <row r="10" spans="1:4">
      <c r="A10" s="7" t="s">
        <v>4</v>
      </c>
      <c r="B10" s="93">
        <v>3553.61</v>
      </c>
      <c r="C10" s="93">
        <v>3924.85</v>
      </c>
      <c r="D10" s="93">
        <v>3540.28</v>
      </c>
    </row>
    <row r="11" spans="1:4">
      <c r="A11" s="7" t="s">
        <v>5</v>
      </c>
      <c r="B11" s="93">
        <v>7583.39</v>
      </c>
      <c r="C11" s="93">
        <v>9439.5499999999993</v>
      </c>
      <c r="D11" s="93">
        <v>9824.1200000000008</v>
      </c>
    </row>
    <row r="12" spans="1:4">
      <c r="A12" s="7" t="s">
        <v>21</v>
      </c>
      <c r="B12" s="93"/>
      <c r="C12" s="93"/>
      <c r="D12" s="93"/>
    </row>
    <row r="13" spans="1:4">
      <c r="A13" s="7" t="s">
        <v>24</v>
      </c>
      <c r="B13" s="93"/>
      <c r="C13" s="93"/>
      <c r="D13" s="93"/>
    </row>
    <row r="14" spans="1:4">
      <c r="A14" s="7" t="s">
        <v>31</v>
      </c>
      <c r="B14" s="93"/>
      <c r="C14" s="93"/>
      <c r="D14" s="93"/>
    </row>
    <row r="15" spans="1:4">
      <c r="A15" s="3" t="s">
        <v>6</v>
      </c>
      <c r="B15" s="93">
        <f>SUM(B2:B14)</f>
        <v>253694.41999999998</v>
      </c>
      <c r="C15" s="93">
        <f>SUM(C2:C14)</f>
        <v>378290.61</v>
      </c>
      <c r="D15" s="93">
        <f>SUM(D2:D14)</f>
        <v>473114.4</v>
      </c>
    </row>
    <row r="16" spans="1:4">
      <c r="A16" s="7"/>
      <c r="B16" s="93"/>
      <c r="C16" s="93"/>
      <c r="D16" s="93"/>
    </row>
    <row r="17" spans="1:4">
      <c r="A17" s="7"/>
      <c r="B17" s="93"/>
      <c r="C17" s="93"/>
      <c r="D17" s="93"/>
    </row>
    <row r="18" spans="1:4">
      <c r="A18" s="3" t="s">
        <v>7</v>
      </c>
      <c r="B18" s="93"/>
      <c r="C18" s="93"/>
      <c r="D18" s="93"/>
    </row>
    <row r="19" spans="1:4">
      <c r="A19" s="5" t="s">
        <v>19</v>
      </c>
      <c r="B19" s="93"/>
      <c r="C19" s="93"/>
      <c r="D19" s="93"/>
    </row>
    <row r="20" spans="1:4">
      <c r="A20" s="5" t="s">
        <v>20</v>
      </c>
      <c r="B20" s="93"/>
      <c r="C20" s="93"/>
      <c r="D20" s="93"/>
    </row>
    <row r="21" spans="1:4">
      <c r="A21" s="7" t="s">
        <v>2</v>
      </c>
      <c r="B21" s="93"/>
      <c r="C21" s="93"/>
      <c r="D21" s="93"/>
    </row>
    <row r="22" spans="1:4">
      <c r="A22" s="7" t="s">
        <v>3</v>
      </c>
      <c r="B22" s="93"/>
      <c r="C22" s="93"/>
      <c r="D22" s="93"/>
    </row>
    <row r="23" spans="1:4">
      <c r="A23" s="7" t="s">
        <v>25</v>
      </c>
      <c r="B23" s="93"/>
      <c r="C23" s="93"/>
      <c r="D23" s="93"/>
    </row>
    <row r="24" spans="1:4">
      <c r="A24" s="7" t="s">
        <v>8</v>
      </c>
      <c r="B24" s="93"/>
      <c r="C24" s="93"/>
      <c r="D24" s="93"/>
    </row>
    <row r="25" spans="1:4">
      <c r="A25" s="7" t="s">
        <v>4</v>
      </c>
      <c r="B25" s="93"/>
      <c r="C25" s="93"/>
      <c r="D25" s="93"/>
    </row>
    <row r="26" spans="1:4">
      <c r="A26" s="7" t="s">
        <v>9</v>
      </c>
      <c r="B26" s="93"/>
      <c r="C26" s="93"/>
      <c r="D26" s="93"/>
    </row>
    <row r="27" spans="1:4">
      <c r="A27" s="7" t="s">
        <v>10</v>
      </c>
      <c r="B27" s="93"/>
      <c r="C27" s="93"/>
      <c r="D27" s="93"/>
    </row>
    <row r="28" spans="1:4">
      <c r="A28" s="7" t="s">
        <v>26</v>
      </c>
      <c r="B28" s="93"/>
      <c r="C28" s="93"/>
      <c r="D28" s="93"/>
    </row>
    <row r="29" spans="1:4">
      <c r="A29" s="7" t="s">
        <v>31</v>
      </c>
      <c r="B29" s="93"/>
      <c r="C29" s="93"/>
      <c r="D29" s="93"/>
    </row>
    <row r="30" spans="1:4">
      <c r="A30" s="3" t="s">
        <v>12</v>
      </c>
      <c r="B30" s="93">
        <f>SUM(B19:B29)</f>
        <v>0</v>
      </c>
      <c r="C30" s="93">
        <f>SUM(C19:C29)</f>
        <v>0</v>
      </c>
      <c r="D30" s="93">
        <f>SUM(D19:D29)</f>
        <v>0</v>
      </c>
    </row>
    <row r="31" spans="1:4">
      <c r="A31" s="7"/>
      <c r="B31" s="93"/>
      <c r="C31" s="93"/>
      <c r="D31" s="93"/>
    </row>
    <row r="32" spans="1:4">
      <c r="A32" s="7"/>
      <c r="B32" s="93"/>
      <c r="C32" s="93"/>
      <c r="D32" s="93"/>
    </row>
    <row r="33" spans="1:4">
      <c r="A33" s="3" t="s">
        <v>13</v>
      </c>
      <c r="B33" s="93">
        <f>B30+B15</f>
        <v>253694.41999999998</v>
      </c>
      <c r="C33" s="93">
        <f>C30+C15</f>
        <v>378290.61</v>
      </c>
      <c r="D33" s="93">
        <f>D30+D15</f>
        <v>473114.4</v>
      </c>
    </row>
    <row r="35" spans="1:4">
      <c r="A35" s="2" t="s">
        <v>14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6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>
    <pageSetUpPr fitToPage="1"/>
  </sheetPr>
  <dimension ref="A1:G54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106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107">
        <v>0</v>
      </c>
      <c r="C2" s="107">
        <v>0</v>
      </c>
      <c r="D2" s="107">
        <v>0</v>
      </c>
    </row>
    <row r="3" spans="1:4">
      <c r="A3" s="5" t="s">
        <v>20</v>
      </c>
      <c r="B3" s="108">
        <v>0</v>
      </c>
      <c r="C3" s="108">
        <v>0</v>
      </c>
      <c r="D3" s="108">
        <v>0</v>
      </c>
    </row>
    <row r="4" spans="1:4">
      <c r="A4" s="5" t="s">
        <v>1</v>
      </c>
      <c r="B4" s="109">
        <v>6999.96</v>
      </c>
      <c r="C4" s="109">
        <v>10000</v>
      </c>
      <c r="D4" s="109">
        <v>10300</v>
      </c>
    </row>
    <row r="5" spans="1:4">
      <c r="A5" s="7" t="s">
        <v>11</v>
      </c>
      <c r="B5" s="109">
        <v>0</v>
      </c>
      <c r="C5" s="109">
        <v>0</v>
      </c>
      <c r="D5" s="109">
        <v>0</v>
      </c>
    </row>
    <row r="6" spans="1:4">
      <c r="A6" s="7" t="s">
        <v>2</v>
      </c>
      <c r="B6" s="109">
        <v>0</v>
      </c>
      <c r="C6" s="109">
        <v>0</v>
      </c>
      <c r="D6" s="109">
        <v>0</v>
      </c>
    </row>
    <row r="7" spans="1:4">
      <c r="A7" s="7" t="s">
        <v>3</v>
      </c>
      <c r="B7" s="109">
        <v>0</v>
      </c>
      <c r="C7" s="109">
        <v>0</v>
      </c>
      <c r="D7" s="109">
        <v>0</v>
      </c>
    </row>
    <row r="8" spans="1:4">
      <c r="A8" s="7" t="s">
        <v>22</v>
      </c>
      <c r="B8" s="109">
        <v>0</v>
      </c>
      <c r="C8" s="109">
        <v>0</v>
      </c>
      <c r="D8" s="109">
        <v>0</v>
      </c>
    </row>
    <row r="9" spans="1:4">
      <c r="A9" s="7" t="s">
        <v>23</v>
      </c>
      <c r="B9" s="110" t="s">
        <v>71</v>
      </c>
      <c r="C9" s="110" t="s">
        <v>71</v>
      </c>
      <c r="D9" s="110" t="s">
        <v>71</v>
      </c>
    </row>
    <row r="10" spans="1:4">
      <c r="A10" s="7" t="s">
        <v>4</v>
      </c>
      <c r="B10" s="109">
        <v>0</v>
      </c>
      <c r="C10" s="109">
        <v>0</v>
      </c>
      <c r="D10" s="109">
        <v>0</v>
      </c>
    </row>
    <row r="11" spans="1:4">
      <c r="A11" s="7" t="s">
        <v>5</v>
      </c>
      <c r="B11" s="109">
        <v>0</v>
      </c>
      <c r="C11" s="109">
        <v>0</v>
      </c>
      <c r="D11" s="109">
        <v>0</v>
      </c>
    </row>
    <row r="12" spans="1:4">
      <c r="A12" s="7" t="s">
        <v>21</v>
      </c>
      <c r="B12" s="109">
        <v>0</v>
      </c>
      <c r="C12" s="109">
        <v>0</v>
      </c>
      <c r="D12" s="109">
        <v>0</v>
      </c>
    </row>
    <row r="13" spans="1:4">
      <c r="A13" s="7" t="s">
        <v>24</v>
      </c>
      <c r="B13" s="111">
        <v>5090</v>
      </c>
      <c r="C13" s="109">
        <v>4000</v>
      </c>
      <c r="D13" s="109">
        <v>4000</v>
      </c>
    </row>
    <row r="14" spans="1:4">
      <c r="A14" s="7" t="s">
        <v>31</v>
      </c>
      <c r="B14" s="109">
        <v>0</v>
      </c>
      <c r="C14" s="109">
        <v>0</v>
      </c>
      <c r="D14" s="109">
        <v>0</v>
      </c>
    </row>
    <row r="15" spans="1:4">
      <c r="A15" s="3" t="s">
        <v>6</v>
      </c>
      <c r="B15" s="109">
        <f>SUM(B3:B14)</f>
        <v>12089.96</v>
      </c>
      <c r="C15" s="109">
        <f>SUM(C2:C14)</f>
        <v>14000</v>
      </c>
      <c r="D15" s="109">
        <f>SUM(D2:D14)</f>
        <v>14300</v>
      </c>
    </row>
    <row r="16" spans="1:4">
      <c r="A16" s="7"/>
      <c r="B16" s="109"/>
      <c r="C16" s="109"/>
      <c r="D16" s="109"/>
    </row>
    <row r="17" spans="1:7">
      <c r="A17" s="7"/>
      <c r="B17" s="109"/>
      <c r="C17" s="109"/>
      <c r="D17" s="109"/>
    </row>
    <row r="18" spans="1:7">
      <c r="A18" s="3" t="s">
        <v>7</v>
      </c>
      <c r="B18" s="109"/>
      <c r="C18" s="109"/>
      <c r="D18" s="109"/>
    </row>
    <row r="19" spans="1:7">
      <c r="A19" s="5" t="s">
        <v>19</v>
      </c>
      <c r="B19" s="109">
        <v>146046</v>
      </c>
      <c r="C19" s="109">
        <v>200365.2</v>
      </c>
      <c r="D19" s="109">
        <v>206376.15600000002</v>
      </c>
    </row>
    <row r="20" spans="1:7">
      <c r="A20" s="5" t="s">
        <v>20</v>
      </c>
      <c r="B20" s="109">
        <v>384470</v>
      </c>
      <c r="C20" s="109">
        <v>482947.11936000007</v>
      </c>
      <c r="D20" s="109">
        <v>497435.53294080007</v>
      </c>
    </row>
    <row r="21" spans="1:7">
      <c r="A21" s="7" t="s">
        <v>2</v>
      </c>
      <c r="B21" s="109">
        <v>0</v>
      </c>
      <c r="C21" s="109">
        <v>0</v>
      </c>
      <c r="D21" s="109">
        <v>0</v>
      </c>
    </row>
    <row r="22" spans="1:7">
      <c r="A22" s="7" t="s">
        <v>3</v>
      </c>
      <c r="B22" s="111">
        <v>64919</v>
      </c>
      <c r="C22" s="109">
        <v>85500</v>
      </c>
      <c r="D22" s="109">
        <v>88065</v>
      </c>
    </row>
    <row r="23" spans="1:7">
      <c r="A23" s="7" t="s">
        <v>25</v>
      </c>
      <c r="B23" s="111">
        <v>394491</v>
      </c>
      <c r="C23" s="111">
        <v>458500</v>
      </c>
      <c r="D23" s="111">
        <v>477100</v>
      </c>
    </row>
    <row r="24" spans="1:7">
      <c r="A24" s="7" t="s">
        <v>8</v>
      </c>
      <c r="B24" s="112" t="s">
        <v>71</v>
      </c>
      <c r="C24" s="112" t="s">
        <v>71</v>
      </c>
      <c r="D24" s="112" t="s">
        <v>71</v>
      </c>
      <c r="F24" s="113"/>
      <c r="G24" s="113"/>
    </row>
    <row r="25" spans="1:7">
      <c r="A25" s="7" t="s">
        <v>4</v>
      </c>
      <c r="B25" s="109">
        <v>1065073</v>
      </c>
      <c r="C25" s="109">
        <v>1000000</v>
      </c>
      <c r="D25" s="109">
        <v>1000000</v>
      </c>
    </row>
    <row r="26" spans="1:7">
      <c r="A26" s="7" t="s">
        <v>9</v>
      </c>
      <c r="B26" s="109">
        <v>0</v>
      </c>
      <c r="C26" s="109">
        <v>0</v>
      </c>
      <c r="D26" s="109">
        <v>0</v>
      </c>
    </row>
    <row r="27" spans="1:7">
      <c r="A27" s="7" t="s">
        <v>10</v>
      </c>
      <c r="B27" s="109">
        <v>55258</v>
      </c>
      <c r="C27" s="109">
        <v>55000</v>
      </c>
      <c r="D27" s="109">
        <v>55000</v>
      </c>
    </row>
    <row r="28" spans="1:7">
      <c r="A28" s="7" t="s">
        <v>26</v>
      </c>
      <c r="B28" s="111">
        <v>151366</v>
      </c>
      <c r="C28" s="109">
        <v>88025</v>
      </c>
      <c r="D28" s="109">
        <v>90665.75</v>
      </c>
    </row>
    <row r="29" spans="1:7">
      <c r="A29" s="7" t="s">
        <v>31</v>
      </c>
      <c r="B29" s="111">
        <v>1984579</v>
      </c>
      <c r="C29" s="109">
        <v>2384579</v>
      </c>
      <c r="D29" s="109">
        <v>2784579</v>
      </c>
    </row>
    <row r="30" spans="1:7">
      <c r="A30" s="3" t="s">
        <v>12</v>
      </c>
      <c r="B30" s="109">
        <f>SUM(B19:B29)</f>
        <v>4246202</v>
      </c>
      <c r="C30" s="109">
        <f>SUM(C19:C29)</f>
        <v>4754916.3193600001</v>
      </c>
      <c r="D30" s="109">
        <f>SUM(D19:D29)</f>
        <v>5199221.4389407998</v>
      </c>
    </row>
    <row r="31" spans="1:7">
      <c r="A31" s="7"/>
      <c r="B31" s="109"/>
      <c r="C31" s="109"/>
      <c r="D31" s="109"/>
    </row>
    <row r="32" spans="1:7">
      <c r="A32" s="7"/>
      <c r="B32" s="109"/>
      <c r="C32" s="109"/>
      <c r="D32" s="109"/>
    </row>
    <row r="33" spans="1:4">
      <c r="A33" s="3" t="s">
        <v>13</v>
      </c>
      <c r="B33" s="109">
        <f>B30+B15</f>
        <v>4258291.96</v>
      </c>
      <c r="C33" s="109">
        <f>C30+C15</f>
        <v>4768916.3193600001</v>
      </c>
      <c r="D33" s="109">
        <f>D30+D15</f>
        <v>5213521.4389407998</v>
      </c>
    </row>
    <row r="35" spans="1:4">
      <c r="A35" s="2" t="s">
        <v>14</v>
      </c>
    </row>
    <row r="37" spans="1:4">
      <c r="A37" s="1" t="s">
        <v>28</v>
      </c>
      <c r="B37" s="69">
        <f>B33/B54</f>
        <v>11295.204137931034</v>
      </c>
      <c r="C37" s="69">
        <f>C33/C54</f>
        <v>12196.716929309463</v>
      </c>
      <c r="D37" s="69">
        <f>D33/D54</f>
        <v>13033.803597352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  <c r="B45">
        <v>190</v>
      </c>
      <c r="C45">
        <v>190</v>
      </c>
      <c r="D45">
        <v>190</v>
      </c>
    </row>
    <row r="47" spans="1:4">
      <c r="A47" t="s">
        <v>18</v>
      </c>
      <c r="B47" s="71">
        <f>B53/B54</f>
        <v>135.47745358090185</v>
      </c>
      <c r="C47" s="71">
        <f>C53/C54</f>
        <v>145.97186700767264</v>
      </c>
      <c r="D47" s="71">
        <f>D53/D54</f>
        <v>142.6875</v>
      </c>
    </row>
    <row r="49" spans="1:4">
      <c r="A49" s="1" t="s">
        <v>29</v>
      </c>
      <c r="B49" s="69">
        <f>(B37*B45)/B47</f>
        <v>15840.92946451297</v>
      </c>
      <c r="C49" s="69">
        <f>(C37*C45)/C47</f>
        <v>15875.498916835741</v>
      </c>
      <c r="D49" s="69">
        <f>(D37*D45)/D47</f>
        <v>17355.56852209815</v>
      </c>
    </row>
    <row r="50" spans="1:4">
      <c r="B50" s="69"/>
      <c r="C50" s="69"/>
      <c r="D50" s="69"/>
    </row>
    <row r="51" spans="1:4">
      <c r="A51" s="1" t="s">
        <v>30</v>
      </c>
      <c r="B51" s="69">
        <f>B49*B54</f>
        <v>5972030.4081213903</v>
      </c>
      <c r="C51" s="69">
        <f>C49*C54</f>
        <v>6207320.0764827747</v>
      </c>
      <c r="D51" s="69">
        <f>D49*D54</f>
        <v>6942227.4088392602</v>
      </c>
    </row>
    <row r="53" spans="1:4">
      <c r="A53" t="s">
        <v>72</v>
      </c>
      <c r="B53">
        <v>51075</v>
      </c>
      <c r="C53">
        <v>57075</v>
      </c>
      <c r="D53">
        <v>57075</v>
      </c>
    </row>
    <row r="54" spans="1:4">
      <c r="A54" t="s">
        <v>73</v>
      </c>
      <c r="B54">
        <v>377</v>
      </c>
      <c r="C54">
        <v>391</v>
      </c>
      <c r="D54">
        <v>400</v>
      </c>
    </row>
  </sheetData>
  <phoneticPr fontId="4" type="noConversion"/>
  <printOptions gridLines="1"/>
  <pageMargins left="0.25" right="0.25" top="1.25" bottom="0.5" header="0.5" footer="0.5"/>
  <pageSetup scale="10" orientation="portrait" blackAndWhite="1"/>
  <headerFooter alignWithMargins="0">
    <oddHeader>&amp;L&amp;9SCHOOL: Thurgood Marshall Academy&amp;C&amp;9DC PUBLIC CHARTER SCHOOL
FACILITY COST TEMPLATE&amp;R&amp;9SITE: 2427 MLK  Jr. Ave. SE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6"/>
      <c r="C2" s="6"/>
      <c r="D2" s="6"/>
    </row>
    <row r="3" spans="1:4">
      <c r="A3" s="5" t="s">
        <v>20</v>
      </c>
      <c r="B3" s="6"/>
      <c r="C3" s="6"/>
      <c r="D3" s="6"/>
    </row>
    <row r="4" spans="1:4">
      <c r="A4" s="5" t="s">
        <v>1</v>
      </c>
      <c r="B4" s="7"/>
      <c r="C4" s="7"/>
      <c r="D4" s="7"/>
    </row>
    <row r="5" spans="1:4">
      <c r="A5" s="7" t="s">
        <v>11</v>
      </c>
      <c r="B5" s="7"/>
      <c r="C5" s="7"/>
      <c r="D5" s="7"/>
    </row>
    <row r="6" spans="1:4">
      <c r="A6" s="7" t="s">
        <v>2</v>
      </c>
      <c r="B6" s="7"/>
      <c r="C6" s="7"/>
      <c r="D6" s="7"/>
    </row>
    <row r="7" spans="1:4">
      <c r="A7" s="7" t="s">
        <v>3</v>
      </c>
      <c r="B7" s="7"/>
      <c r="C7" s="7"/>
      <c r="D7" s="7"/>
    </row>
    <row r="8" spans="1:4">
      <c r="A8" s="7" t="s">
        <v>22</v>
      </c>
      <c r="B8" s="7"/>
      <c r="C8" s="7"/>
      <c r="D8" s="7"/>
    </row>
    <row r="9" spans="1:4">
      <c r="A9" s="7" t="s">
        <v>23</v>
      </c>
      <c r="B9" s="7"/>
      <c r="C9" s="7"/>
      <c r="D9" s="7"/>
    </row>
    <row r="10" spans="1:4">
      <c r="A10" s="7" t="s">
        <v>4</v>
      </c>
      <c r="B10" s="7"/>
      <c r="C10" s="7"/>
      <c r="D10" s="7"/>
    </row>
    <row r="11" spans="1:4">
      <c r="A11" s="7" t="s">
        <v>5</v>
      </c>
      <c r="B11" s="7"/>
      <c r="C11" s="7"/>
      <c r="D11" s="7"/>
    </row>
    <row r="12" spans="1:4">
      <c r="A12" s="7" t="s">
        <v>21</v>
      </c>
      <c r="B12" s="7"/>
      <c r="C12" s="7"/>
      <c r="D12" s="7"/>
    </row>
    <row r="13" spans="1:4">
      <c r="A13" s="7" t="s">
        <v>24</v>
      </c>
      <c r="B13" s="7"/>
      <c r="C13" s="7"/>
      <c r="D13" s="7"/>
    </row>
    <row r="14" spans="1:4">
      <c r="A14" s="7" t="s">
        <v>31</v>
      </c>
      <c r="B14" s="7"/>
      <c r="C14" s="7"/>
      <c r="D14" s="7"/>
    </row>
    <row r="15" spans="1:4">
      <c r="A15" s="3" t="s">
        <v>6</v>
      </c>
      <c r="B15" s="7">
        <f>SUM(B2:B14)</f>
        <v>0</v>
      </c>
      <c r="C15" s="7">
        <f>SUM(C2:C14)</f>
        <v>0</v>
      </c>
      <c r="D15" s="7">
        <f>SUM(D2:D14)</f>
        <v>0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114">
        <f>166417</f>
        <v>166417</v>
      </c>
      <c r="C19" s="114">
        <f>200000</f>
        <v>200000</v>
      </c>
      <c r="D19" s="114">
        <f>1.05*200000</f>
        <v>210000</v>
      </c>
    </row>
    <row r="20" spans="1:4">
      <c r="A20" s="5" t="s">
        <v>20</v>
      </c>
      <c r="B20" s="114">
        <f>77300+98966</f>
        <v>176266</v>
      </c>
      <c r="C20" s="114">
        <f>60000+89250+30000</f>
        <v>179250</v>
      </c>
      <c r="D20" s="114">
        <f>179250*1.05</f>
        <v>188212.5</v>
      </c>
    </row>
    <row r="21" spans="1:4">
      <c r="A21" s="7" t="s">
        <v>2</v>
      </c>
      <c r="B21" s="114">
        <v>0</v>
      </c>
      <c r="C21" s="114">
        <v>0</v>
      </c>
      <c r="D21" s="114">
        <v>0</v>
      </c>
    </row>
    <row r="22" spans="1:4">
      <c r="A22" s="7" t="s">
        <v>3</v>
      </c>
      <c r="B22" s="114">
        <v>9800</v>
      </c>
      <c r="C22" s="114">
        <v>10000</v>
      </c>
      <c r="D22" s="114">
        <f>1.05*10000</f>
        <v>10500</v>
      </c>
    </row>
    <row r="23" spans="1:4">
      <c r="A23" s="7" t="s">
        <v>25</v>
      </c>
      <c r="B23" s="114">
        <f>209320</f>
        <v>209320</v>
      </c>
      <c r="C23" s="114">
        <v>209320</v>
      </c>
      <c r="D23" s="114">
        <v>209320</v>
      </c>
    </row>
    <row r="24" spans="1:4">
      <c r="A24" s="7" t="s">
        <v>8</v>
      </c>
      <c r="B24" s="114"/>
      <c r="C24" s="114"/>
      <c r="D24" s="114"/>
    </row>
    <row r="25" spans="1:4">
      <c r="A25" s="7" t="s">
        <v>4</v>
      </c>
      <c r="B25" s="114">
        <f>312795</f>
        <v>312795</v>
      </c>
      <c r="C25" s="114">
        <f>401250-99356</f>
        <v>301894</v>
      </c>
      <c r="D25" s="114">
        <f>1.05*301894</f>
        <v>316988.7</v>
      </c>
    </row>
    <row r="26" spans="1:4">
      <c r="A26" s="7" t="s">
        <v>9</v>
      </c>
      <c r="B26" s="114">
        <v>192963</v>
      </c>
      <c r="C26" s="114">
        <f>99356+16620</f>
        <v>115976</v>
      </c>
      <c r="D26" s="114">
        <f>100929+100000</f>
        <v>200929</v>
      </c>
    </row>
    <row r="27" spans="1:4">
      <c r="A27" s="7" t="s">
        <v>10</v>
      </c>
      <c r="B27" s="114"/>
      <c r="C27" s="114"/>
      <c r="D27" s="114"/>
    </row>
    <row r="28" spans="1:4">
      <c r="A28" s="7" t="s">
        <v>26</v>
      </c>
      <c r="B28" s="114"/>
      <c r="C28" s="114"/>
      <c r="D28" s="114"/>
    </row>
    <row r="29" spans="1:4">
      <c r="A29" s="7" t="s">
        <v>31</v>
      </c>
      <c r="B29" s="114"/>
      <c r="C29" s="114"/>
      <c r="D29" s="114"/>
    </row>
    <row r="30" spans="1:4">
      <c r="A30" s="3" t="s">
        <v>12</v>
      </c>
      <c r="B30" s="114">
        <f>SUM(B19:B29)</f>
        <v>1067561</v>
      </c>
      <c r="C30" s="114">
        <f>SUM(C19:C29)</f>
        <v>1016440</v>
      </c>
      <c r="D30" s="114">
        <f>SUM(D19:D29)</f>
        <v>1135950.2</v>
      </c>
    </row>
    <row r="31" spans="1:4">
      <c r="A31" s="7"/>
      <c r="B31" s="114"/>
      <c r="C31" s="114"/>
      <c r="D31" s="114"/>
    </row>
    <row r="32" spans="1:4">
      <c r="A32" s="7"/>
      <c r="B32" s="114"/>
      <c r="C32" s="114"/>
      <c r="D32" s="114"/>
    </row>
    <row r="33" spans="1:4">
      <c r="A33" s="3" t="s">
        <v>13</v>
      </c>
      <c r="B33" s="114">
        <f>B30+B15</f>
        <v>1067561</v>
      </c>
      <c r="C33" s="114">
        <f>C30+C15</f>
        <v>1016440</v>
      </c>
      <c r="D33" s="114">
        <f>D30+D15</f>
        <v>1135950.2</v>
      </c>
    </row>
    <row r="35" spans="1:4">
      <c r="A35" s="2" t="s">
        <v>14</v>
      </c>
      <c r="B35" s="115">
        <f>B33/294</f>
        <v>3631.1598639455783</v>
      </c>
      <c r="C35" s="115">
        <f>C33/266</f>
        <v>3821.2030075187968</v>
      </c>
      <c r="D35" s="115">
        <f>D33/300</f>
        <v>3786.5006666666663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landscape" blackAndWhite="1"/>
  <headerFooter alignWithMargins="0">
    <oddHeader>&amp;LSCHOOL:Tree of Life&amp;CDC PUBLIC CHARTER SCHOOL
FACILITY COST TEMPLATE&amp;RSITE: 2315 18TH PLACE NE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116" t="s">
        <v>19</v>
      </c>
      <c r="B2" s="6"/>
      <c r="C2" s="6"/>
      <c r="D2" s="6"/>
    </row>
    <row r="3" spans="1:4">
      <c r="A3" s="116" t="s">
        <v>20</v>
      </c>
      <c r="B3" s="6"/>
      <c r="C3" s="6"/>
      <c r="D3" s="6"/>
    </row>
    <row r="4" spans="1:4">
      <c r="A4" s="116" t="s">
        <v>1</v>
      </c>
      <c r="B4" s="7"/>
      <c r="C4" s="7"/>
      <c r="D4" s="7"/>
    </row>
    <row r="5" spans="1:4">
      <c r="A5" s="7" t="s">
        <v>11</v>
      </c>
      <c r="B5" s="7"/>
      <c r="C5" s="7"/>
      <c r="D5" s="7"/>
    </row>
    <row r="6" spans="1:4">
      <c r="A6" s="7" t="s">
        <v>2</v>
      </c>
      <c r="B6" s="7"/>
      <c r="C6" s="7"/>
      <c r="D6" s="7"/>
    </row>
    <row r="7" spans="1:4">
      <c r="A7" s="7" t="s">
        <v>3</v>
      </c>
      <c r="B7" s="7"/>
      <c r="C7" s="7"/>
      <c r="D7" s="7"/>
    </row>
    <row r="8" spans="1:4">
      <c r="A8" s="7" t="s">
        <v>22</v>
      </c>
      <c r="B8" s="7"/>
      <c r="C8" s="7"/>
      <c r="D8" s="7"/>
    </row>
    <row r="9" spans="1:4">
      <c r="A9" s="7" t="s">
        <v>23</v>
      </c>
      <c r="B9" s="7"/>
      <c r="C9" s="7"/>
      <c r="D9" s="7"/>
    </row>
    <row r="10" spans="1:4">
      <c r="A10" s="7" t="s">
        <v>4</v>
      </c>
      <c r="B10" s="7"/>
      <c r="C10" s="7"/>
      <c r="D10" s="7"/>
    </row>
    <row r="11" spans="1:4">
      <c r="A11" s="7" t="s">
        <v>5</v>
      </c>
      <c r="B11" s="7"/>
      <c r="C11" s="7"/>
      <c r="D11" s="7"/>
    </row>
    <row r="12" spans="1:4">
      <c r="A12" s="7" t="s">
        <v>21</v>
      </c>
      <c r="B12" s="7"/>
      <c r="C12" s="7"/>
      <c r="D12" s="7"/>
    </row>
    <row r="13" spans="1:4">
      <c r="A13" s="7" t="s">
        <v>24</v>
      </c>
      <c r="B13" s="7"/>
      <c r="C13" s="7"/>
      <c r="D13" s="7"/>
    </row>
    <row r="14" spans="1:4">
      <c r="A14" s="7" t="s">
        <v>31</v>
      </c>
      <c r="B14" s="7"/>
      <c r="C14" s="7"/>
      <c r="D14" s="7"/>
    </row>
    <row r="15" spans="1:4">
      <c r="A15" s="3" t="s">
        <v>6</v>
      </c>
      <c r="B15" s="7">
        <f>SUM(B2:B14)</f>
        <v>0</v>
      </c>
      <c r="C15" s="7">
        <f>SUM(C2:C14)</f>
        <v>0</v>
      </c>
      <c r="D15" s="7">
        <f>SUM(D2:D14)</f>
        <v>0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116" t="s">
        <v>19</v>
      </c>
      <c r="B19" s="39">
        <v>91344</v>
      </c>
      <c r="C19" s="39">
        <v>182000</v>
      </c>
      <c r="D19" s="39">
        <f>C19</f>
        <v>182000</v>
      </c>
    </row>
    <row r="20" spans="1:4">
      <c r="A20" s="116" t="s">
        <v>20</v>
      </c>
      <c r="B20" s="39">
        <f>17387+182708</f>
        <v>200095</v>
      </c>
      <c r="C20" s="39">
        <f>17000+230000</f>
        <v>247000</v>
      </c>
      <c r="D20" s="39">
        <f>C20</f>
        <v>247000</v>
      </c>
    </row>
    <row r="21" spans="1:4">
      <c r="A21" s="7" t="s">
        <v>2</v>
      </c>
      <c r="B21" s="39">
        <v>17439</v>
      </c>
      <c r="C21" s="39">
        <v>0</v>
      </c>
      <c r="D21" s="39">
        <v>0</v>
      </c>
    </row>
    <row r="22" spans="1:4">
      <c r="A22" s="7" t="s">
        <v>3</v>
      </c>
      <c r="B22" s="39">
        <v>18592</v>
      </c>
      <c r="C22" s="39">
        <v>28000</v>
      </c>
      <c r="D22" s="39">
        <v>32000</v>
      </c>
    </row>
    <row r="23" spans="1:4">
      <c r="A23" s="7" t="s">
        <v>25</v>
      </c>
      <c r="B23" s="39">
        <v>205727</v>
      </c>
      <c r="C23" s="39">
        <v>344773</v>
      </c>
      <c r="D23" s="39">
        <v>346160</v>
      </c>
    </row>
    <row r="24" spans="1:4">
      <c r="A24" s="7" t="s">
        <v>8</v>
      </c>
      <c r="B24" s="39"/>
      <c r="C24" s="39"/>
      <c r="D24" s="39"/>
    </row>
    <row r="25" spans="1:4">
      <c r="A25" s="7" t="s">
        <v>4</v>
      </c>
      <c r="B25" s="39">
        <v>493184</v>
      </c>
      <c r="C25" s="39">
        <v>769685</v>
      </c>
      <c r="D25" s="39">
        <v>882029</v>
      </c>
    </row>
    <row r="26" spans="1:4">
      <c r="A26" s="7" t="s">
        <v>9</v>
      </c>
      <c r="B26" s="39">
        <v>0</v>
      </c>
      <c r="C26" s="39">
        <v>0</v>
      </c>
      <c r="D26" s="39">
        <v>0</v>
      </c>
    </row>
    <row r="27" spans="1:4">
      <c r="A27" s="7" t="s">
        <v>10</v>
      </c>
      <c r="B27" s="39">
        <v>12282</v>
      </c>
      <c r="C27" s="39">
        <v>13000</v>
      </c>
      <c r="D27" s="39">
        <v>13000</v>
      </c>
    </row>
    <row r="28" spans="1:4">
      <c r="A28" s="7" t="s">
        <v>26</v>
      </c>
      <c r="B28" s="39">
        <f>3524465+26483-2481587</f>
        <v>1069361</v>
      </c>
      <c r="C28" s="39">
        <f>2428154-2211265+195000</f>
        <v>411889</v>
      </c>
      <c r="D28" s="39">
        <v>300000</v>
      </c>
    </row>
    <row r="29" spans="1:4">
      <c r="A29" s="7" t="s">
        <v>31</v>
      </c>
      <c r="B29" s="39">
        <v>0</v>
      </c>
      <c r="C29" s="39">
        <f>C25*20%</f>
        <v>153937</v>
      </c>
      <c r="D29" s="39">
        <f>D25*20%</f>
        <v>176405.80000000002</v>
      </c>
    </row>
    <row r="30" spans="1:4">
      <c r="A30" s="3" t="s">
        <v>12</v>
      </c>
      <c r="B30" s="39">
        <f>SUM(B19:B29)</f>
        <v>2108024</v>
      </c>
      <c r="C30" s="39">
        <f>SUM(C19:C29)</f>
        <v>2150284</v>
      </c>
      <c r="D30" s="39">
        <f>SUM(D19:D29)</f>
        <v>2178594.7999999998</v>
      </c>
    </row>
    <row r="31" spans="1:4">
      <c r="A31" s="7"/>
      <c r="B31" s="39"/>
      <c r="C31" s="39"/>
      <c r="D31" s="39"/>
    </row>
    <row r="32" spans="1:4">
      <c r="A32" s="7"/>
      <c r="B32" s="39"/>
      <c r="C32" s="39"/>
      <c r="D32" s="39"/>
    </row>
    <row r="33" spans="1:4">
      <c r="A33" s="3" t="s">
        <v>13</v>
      </c>
      <c r="B33" s="39">
        <f>B30+B15</f>
        <v>2108024</v>
      </c>
      <c r="C33" s="39">
        <f>C30+C15</f>
        <v>2150284</v>
      </c>
      <c r="D33" s="39">
        <f>D30+D15</f>
        <v>2178594.7999999998</v>
      </c>
    </row>
    <row r="35" spans="1:4">
      <c r="A35" s="117" t="s">
        <v>14</v>
      </c>
      <c r="B35">
        <v>367</v>
      </c>
      <c r="C35">
        <v>416</v>
      </c>
      <c r="D35">
        <v>441</v>
      </c>
    </row>
    <row r="37" spans="1:4">
      <c r="A37" s="1" t="s">
        <v>28</v>
      </c>
      <c r="B37" s="36">
        <f>B33/B35</f>
        <v>5743.9346049046326</v>
      </c>
      <c r="C37" s="36">
        <f>C33/C35</f>
        <v>5168.9519230769229</v>
      </c>
      <c r="D37" s="36">
        <f>D33/D35</f>
        <v>4940.1242630385486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s="118">
        <f>140/B47</f>
        <v>1.5569696969696969</v>
      </c>
      <c r="C42" s="118">
        <f>140/C47</f>
        <v>1.1200000000000001</v>
      </c>
      <c r="D42" s="118">
        <f>140/D47</f>
        <v>1.1873076923076922</v>
      </c>
    </row>
    <row r="43" spans="1:4">
      <c r="A43" t="s">
        <v>16</v>
      </c>
      <c r="B43" s="118"/>
      <c r="C43" s="118"/>
      <c r="D43" s="118"/>
    </row>
    <row r="44" spans="1:4">
      <c r="B44" s="118"/>
      <c r="C44" s="118"/>
      <c r="D44" s="118"/>
    </row>
    <row r="45" spans="1:4">
      <c r="A45" t="s">
        <v>17</v>
      </c>
      <c r="B45" s="118"/>
      <c r="C45" s="118"/>
      <c r="D45" s="118"/>
    </row>
    <row r="46" spans="1:4">
      <c r="B46" s="118"/>
      <c r="C46" s="118"/>
      <c r="D46" s="118"/>
    </row>
    <row r="47" spans="1:4">
      <c r="A47" t="s">
        <v>18</v>
      </c>
      <c r="B47" s="118">
        <f>33000/B35</f>
        <v>89.918256130790198</v>
      </c>
      <c r="C47" s="118">
        <f>52000/C35</f>
        <v>125</v>
      </c>
      <c r="D47" s="118">
        <f>52000/D35</f>
        <v>117.91383219954649</v>
      </c>
    </row>
    <row r="49" spans="1:4">
      <c r="A49" s="1" t="s">
        <v>29</v>
      </c>
      <c r="B49" s="36">
        <f>B42*B37</f>
        <v>8943.132121212122</v>
      </c>
      <c r="C49" s="36">
        <f>C42*C37</f>
        <v>5789.2261538461544</v>
      </c>
      <c r="D49" s="36">
        <f>D42*D37</f>
        <v>5865.447538461538</v>
      </c>
    </row>
    <row r="50" spans="1:4">
      <c r="B50" s="36"/>
      <c r="C50" s="36"/>
      <c r="D50" s="36"/>
    </row>
    <row r="51" spans="1:4">
      <c r="A51" s="1" t="s">
        <v>30</v>
      </c>
      <c r="B51" s="36">
        <f>B49*B35</f>
        <v>3282129.4884848488</v>
      </c>
      <c r="C51" s="36">
        <f>C49*C35</f>
        <v>2408318.08</v>
      </c>
      <c r="D51" s="36">
        <f>D49*D35</f>
        <v>2586662.3644615384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6"/>
      <c r="C2" s="6"/>
      <c r="D2" s="6"/>
    </row>
    <row r="3" spans="1:4">
      <c r="A3" s="5" t="s">
        <v>20</v>
      </c>
      <c r="B3" s="6"/>
      <c r="C3" s="6"/>
      <c r="D3" s="6"/>
    </row>
    <row r="4" spans="1:4">
      <c r="A4" s="5" t="s">
        <v>1</v>
      </c>
      <c r="B4" s="7"/>
      <c r="C4" s="7"/>
      <c r="D4" s="7"/>
    </row>
    <row r="5" spans="1:4">
      <c r="A5" s="7" t="s">
        <v>11</v>
      </c>
      <c r="B5" s="7"/>
      <c r="C5" s="7"/>
      <c r="D5" s="7"/>
    </row>
    <row r="6" spans="1:4">
      <c r="A6" s="7" t="s">
        <v>2</v>
      </c>
      <c r="B6" s="7"/>
      <c r="C6" s="7"/>
      <c r="D6" s="7"/>
    </row>
    <row r="7" spans="1:4">
      <c r="A7" s="7" t="s">
        <v>3</v>
      </c>
      <c r="B7" s="7"/>
      <c r="C7" s="7"/>
      <c r="D7" s="7"/>
    </row>
    <row r="8" spans="1:4">
      <c r="A8" s="7" t="s">
        <v>22</v>
      </c>
      <c r="B8" s="7"/>
      <c r="C8" s="7"/>
      <c r="D8" s="7"/>
    </row>
    <row r="9" spans="1:4">
      <c r="A9" s="7" t="s">
        <v>23</v>
      </c>
      <c r="B9" s="7"/>
      <c r="C9" s="7"/>
      <c r="D9" s="7"/>
    </row>
    <row r="10" spans="1:4">
      <c r="A10" s="7" t="s">
        <v>4</v>
      </c>
      <c r="B10" s="7"/>
      <c r="C10" s="7"/>
      <c r="D10" s="7"/>
    </row>
    <row r="11" spans="1:4">
      <c r="A11" s="7" t="s">
        <v>5</v>
      </c>
      <c r="B11" s="7"/>
      <c r="C11" s="7"/>
      <c r="D11" s="7"/>
    </row>
    <row r="12" spans="1:4">
      <c r="A12" s="7" t="s">
        <v>21</v>
      </c>
      <c r="B12" s="7"/>
      <c r="C12" s="7"/>
      <c r="D12" s="7"/>
    </row>
    <row r="13" spans="1:4">
      <c r="A13" s="7" t="s">
        <v>24</v>
      </c>
      <c r="B13" s="7"/>
      <c r="C13" s="7"/>
      <c r="D13" s="7"/>
    </row>
    <row r="14" spans="1:4">
      <c r="A14" s="7" t="s">
        <v>31</v>
      </c>
      <c r="B14" s="7"/>
      <c r="C14" s="7"/>
      <c r="D14" s="7"/>
    </row>
    <row r="15" spans="1:4">
      <c r="A15" s="3" t="s">
        <v>6</v>
      </c>
      <c r="B15" s="7">
        <f>SUM(B2:B14)</f>
        <v>0</v>
      </c>
      <c r="C15" s="7">
        <f>SUM(C2:C14)</f>
        <v>0</v>
      </c>
      <c r="D15" s="7">
        <f>SUM(D2:D14)</f>
        <v>0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119">
        <v>107938.12</v>
      </c>
      <c r="C19" s="119">
        <v>99200</v>
      </c>
      <c r="D19" s="119">
        <v>102552</v>
      </c>
    </row>
    <row r="20" spans="1:4">
      <c r="A20" s="5" t="s">
        <v>20</v>
      </c>
      <c r="B20" s="119">
        <v>103128.19</v>
      </c>
      <c r="C20" s="119">
        <v>108000</v>
      </c>
      <c r="D20" s="119">
        <v>113000</v>
      </c>
    </row>
    <row r="21" spans="1:4">
      <c r="A21" s="7" t="s">
        <v>2</v>
      </c>
      <c r="B21" s="119">
        <v>0</v>
      </c>
      <c r="C21" s="119">
        <v>0</v>
      </c>
      <c r="D21" s="119">
        <v>0</v>
      </c>
    </row>
    <row r="22" spans="1:4">
      <c r="A22" s="7" t="s">
        <v>3</v>
      </c>
      <c r="B22" s="119"/>
      <c r="C22" s="119"/>
      <c r="D22" s="119"/>
    </row>
    <row r="23" spans="1:4">
      <c r="A23" s="7" t="s">
        <v>25</v>
      </c>
      <c r="B23" s="119">
        <v>367122.49</v>
      </c>
      <c r="C23" s="119">
        <v>367122.49</v>
      </c>
      <c r="D23" s="119">
        <v>367122.49</v>
      </c>
    </row>
    <row r="24" spans="1:4">
      <c r="A24" s="7" t="s">
        <v>8</v>
      </c>
      <c r="B24" s="119"/>
      <c r="C24" s="119"/>
      <c r="D24" s="119"/>
    </row>
    <row r="25" spans="1:4">
      <c r="A25" s="7" t="s">
        <v>4</v>
      </c>
      <c r="B25" s="119">
        <v>404031.53</v>
      </c>
      <c r="C25" s="119">
        <v>394811.83</v>
      </c>
      <c r="D25" s="119">
        <v>386205.73</v>
      </c>
    </row>
    <row r="26" spans="1:4">
      <c r="A26" s="7" t="s">
        <v>9</v>
      </c>
      <c r="B26" s="119">
        <v>172728.91</v>
      </c>
      <c r="C26" s="119">
        <v>181948.61</v>
      </c>
      <c r="D26" s="119">
        <v>190554.71</v>
      </c>
    </row>
    <row r="27" spans="1:4">
      <c r="A27" s="5" t="s">
        <v>74</v>
      </c>
      <c r="B27" s="119">
        <v>64515</v>
      </c>
      <c r="C27" s="119">
        <v>64515</v>
      </c>
      <c r="D27" s="119">
        <v>64515</v>
      </c>
    </row>
    <row r="28" spans="1:4">
      <c r="A28" s="7" t="s">
        <v>26</v>
      </c>
      <c r="B28" s="119">
        <v>35000</v>
      </c>
      <c r="C28" s="119">
        <v>45000</v>
      </c>
      <c r="D28" s="119">
        <v>55000</v>
      </c>
    </row>
    <row r="29" spans="1:4">
      <c r="A29" s="7" t="s">
        <v>31</v>
      </c>
      <c r="B29" s="119">
        <v>576760</v>
      </c>
      <c r="C29" s="119">
        <v>576760</v>
      </c>
      <c r="D29" s="119">
        <v>576760</v>
      </c>
    </row>
    <row r="30" spans="1:4">
      <c r="A30" s="3" t="s">
        <v>12</v>
      </c>
      <c r="B30" s="119">
        <f>SUM(B19:B29)</f>
        <v>1831224.24</v>
      </c>
      <c r="C30" s="119">
        <f>SUM(C19:C29)</f>
        <v>1837357.9300000002</v>
      </c>
      <c r="D30" s="119">
        <f>SUM(D19:D29)</f>
        <v>1855709.93</v>
      </c>
    </row>
    <row r="31" spans="1:4">
      <c r="A31" s="7"/>
      <c r="B31" s="119"/>
      <c r="C31" s="119"/>
      <c r="D31" s="119"/>
    </row>
    <row r="32" spans="1:4">
      <c r="A32" s="7"/>
      <c r="B32" s="119"/>
      <c r="C32" s="119"/>
      <c r="D32" s="119"/>
    </row>
    <row r="33" spans="1:4">
      <c r="A33" s="3" t="s">
        <v>13</v>
      </c>
      <c r="B33" s="119">
        <f>B30+B15</f>
        <v>1831224.24</v>
      </c>
      <c r="C33" s="119">
        <f>C30+C15</f>
        <v>1837357.9300000002</v>
      </c>
      <c r="D33" s="119">
        <f>D30+D15</f>
        <v>1855709.93</v>
      </c>
    </row>
    <row r="35" spans="1:4">
      <c r="A35" s="2" t="s">
        <v>14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6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D54"/>
  <sheetViews>
    <sheetView topLeftCell="A28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4" width="15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25">
        <v>409814.07</v>
      </c>
      <c r="C2" s="26">
        <v>429900.00000000105</v>
      </c>
      <c r="D2" s="27">
        <f>C2*1.05</f>
        <v>451395.00000000111</v>
      </c>
    </row>
    <row r="3" spans="1:4">
      <c r="A3" s="5" t="s">
        <v>20</v>
      </c>
      <c r="B3" s="25">
        <v>223050.1</v>
      </c>
      <c r="C3" s="26">
        <v>216642.48</v>
      </c>
      <c r="D3" s="27">
        <f>C3*1.05</f>
        <v>227474.60400000002</v>
      </c>
    </row>
    <row r="4" spans="1:4">
      <c r="A4" s="5" t="s">
        <v>1</v>
      </c>
      <c r="B4" s="28">
        <v>570643.68000000005</v>
      </c>
      <c r="C4" s="27">
        <v>598644</v>
      </c>
      <c r="D4" s="27">
        <f>C4*1.05</f>
        <v>628576.20000000007</v>
      </c>
    </row>
    <row r="5" spans="1:4">
      <c r="A5" s="7" t="s">
        <v>11</v>
      </c>
      <c r="B5" s="28">
        <v>0</v>
      </c>
      <c r="C5" s="27"/>
      <c r="D5" s="27"/>
    </row>
    <row r="6" spans="1:4">
      <c r="A6" s="7" t="s">
        <v>2</v>
      </c>
      <c r="B6" s="28">
        <v>0</v>
      </c>
      <c r="C6" s="27"/>
      <c r="D6" s="27"/>
    </row>
    <row r="7" spans="1:4">
      <c r="A7" s="7" t="s">
        <v>3</v>
      </c>
      <c r="B7" s="28">
        <v>31901.7</v>
      </c>
      <c r="C7" s="27">
        <v>44622.74</v>
      </c>
      <c r="D7" s="27">
        <f>C7*1.05</f>
        <v>46853.877</v>
      </c>
    </row>
    <row r="8" spans="1:4">
      <c r="A8" s="7" t="s">
        <v>22</v>
      </c>
      <c r="B8" s="28">
        <v>576870.68672989553</v>
      </c>
      <c r="C8" s="27">
        <v>674648.11088115827</v>
      </c>
      <c r="D8" s="27">
        <v>843310.1386014478</v>
      </c>
    </row>
    <row r="9" spans="1:4">
      <c r="A9" s="7" t="s">
        <v>23</v>
      </c>
      <c r="B9" s="28"/>
      <c r="C9" s="27"/>
      <c r="D9" s="27"/>
    </row>
    <row r="10" spans="1:4">
      <c r="A10" s="7" t="s">
        <v>4</v>
      </c>
      <c r="B10" s="28">
        <v>79900</v>
      </c>
      <c r="C10" s="27">
        <v>13814.7</v>
      </c>
      <c r="D10" s="27">
        <v>10700</v>
      </c>
    </row>
    <row r="11" spans="1:4">
      <c r="A11" s="7" t="s">
        <v>5</v>
      </c>
      <c r="B11" s="28">
        <v>73505</v>
      </c>
      <c r="C11" s="27">
        <v>58325</v>
      </c>
      <c r="D11" s="27">
        <v>48293</v>
      </c>
    </row>
    <row r="12" spans="1:4">
      <c r="A12" s="7" t="s">
        <v>21</v>
      </c>
      <c r="B12" s="28">
        <f>295.82*12</f>
        <v>3549.84</v>
      </c>
      <c r="C12" s="27">
        <v>887.46</v>
      </c>
      <c r="D12" s="27">
        <v>0</v>
      </c>
    </row>
    <row r="13" spans="1:4">
      <c r="A13" s="7" t="s">
        <v>24</v>
      </c>
      <c r="B13" s="28">
        <v>213136.24</v>
      </c>
      <c r="C13" s="29">
        <v>60000</v>
      </c>
      <c r="D13" s="27">
        <v>120000</v>
      </c>
    </row>
    <row r="14" spans="1:4" ht="13" thickBot="1">
      <c r="A14" s="7" t="s">
        <v>31</v>
      </c>
      <c r="B14" s="30">
        <v>0</v>
      </c>
      <c r="C14" s="31">
        <v>0</v>
      </c>
      <c r="D14" s="31">
        <v>0</v>
      </c>
    </row>
    <row r="15" spans="1:4" s="1" customFormat="1" ht="13" thickTop="1">
      <c r="A15" s="3" t="s">
        <v>6</v>
      </c>
      <c r="B15" s="32">
        <f>SUM(B2:B14)</f>
        <v>2182371.3167298958</v>
      </c>
      <c r="C15" s="32">
        <f>SUM(C2:C14)</f>
        <v>2097484.490881159</v>
      </c>
      <c r="D15" s="32">
        <f>SUM(D2:D14)</f>
        <v>2376602.8196014492</v>
      </c>
    </row>
    <row r="16" spans="1:4">
      <c r="A16" s="7"/>
      <c r="B16" s="27"/>
      <c r="C16" s="27"/>
      <c r="D16" s="27"/>
    </row>
    <row r="17" spans="1:4">
      <c r="A17" s="7"/>
      <c r="B17" s="27"/>
      <c r="C17" s="27"/>
      <c r="D17" s="27"/>
    </row>
    <row r="18" spans="1:4">
      <c r="A18" s="3" t="s">
        <v>7</v>
      </c>
      <c r="B18" s="27"/>
      <c r="C18" s="27"/>
      <c r="D18" s="27"/>
    </row>
    <row r="19" spans="1:4">
      <c r="A19" s="5" t="s">
        <v>19</v>
      </c>
      <c r="B19" s="27">
        <v>268046.5</v>
      </c>
      <c r="C19" s="27">
        <v>250800</v>
      </c>
      <c r="D19" s="27">
        <f>C19*1.5</f>
        <v>376200</v>
      </c>
    </row>
    <row r="20" spans="1:4">
      <c r="A20" s="5" t="s">
        <v>20</v>
      </c>
      <c r="B20" s="27">
        <v>47357.919999999998</v>
      </c>
      <c r="C20" s="27">
        <v>144428.4</v>
      </c>
      <c r="D20" s="27">
        <f>C20*1.5</f>
        <v>216642.59999999998</v>
      </c>
    </row>
    <row r="21" spans="1:4">
      <c r="A21" s="7" t="s">
        <v>2</v>
      </c>
      <c r="B21" s="27">
        <v>0</v>
      </c>
      <c r="C21" s="27"/>
      <c r="D21" s="27"/>
    </row>
    <row r="22" spans="1:4">
      <c r="A22" s="7" t="s">
        <v>3</v>
      </c>
      <c r="B22" s="27">
        <v>7870.71</v>
      </c>
      <c r="C22" s="27">
        <v>29748.04</v>
      </c>
      <c r="D22" s="27">
        <f>C22*1.5</f>
        <v>44622.06</v>
      </c>
    </row>
    <row r="23" spans="1:4">
      <c r="A23" s="7" t="s">
        <v>25</v>
      </c>
      <c r="B23" s="27">
        <v>323626.27020561165</v>
      </c>
      <c r="C23" s="27">
        <v>725351.88911884173</v>
      </c>
      <c r="D23" s="27">
        <v>953309.72639855219</v>
      </c>
    </row>
    <row r="24" spans="1:4">
      <c r="A24" s="7" t="s">
        <v>8</v>
      </c>
      <c r="B24" s="27"/>
      <c r="C24" s="27"/>
      <c r="D24" s="27"/>
    </row>
    <row r="25" spans="1:4">
      <c r="A25" s="7" t="s">
        <v>4</v>
      </c>
      <c r="B25" s="29">
        <v>1125654.25</v>
      </c>
      <c r="C25" s="27">
        <f>1188363+116272</f>
        <v>1304635</v>
      </c>
      <c r="D25" s="27">
        <v>1285285</v>
      </c>
    </row>
    <row r="26" spans="1:4">
      <c r="A26" s="7" t="s">
        <v>9</v>
      </c>
      <c r="B26" s="27">
        <v>105000</v>
      </c>
      <c r="C26" s="27">
        <v>430000</v>
      </c>
      <c r="D26" s="27">
        <v>450000</v>
      </c>
    </row>
    <row r="27" spans="1:4">
      <c r="A27" s="7" t="s">
        <v>10</v>
      </c>
      <c r="B27" s="27">
        <f>377.78+16903.02+122342.58</f>
        <v>139623.38</v>
      </c>
      <c r="C27" s="27">
        <f>94.44+16903.02+122342.58</f>
        <v>139340.04</v>
      </c>
      <c r="D27" s="27">
        <f>16903.02+122342.58</f>
        <v>139245.6</v>
      </c>
    </row>
    <row r="28" spans="1:4">
      <c r="A28" s="7" t="s">
        <v>26</v>
      </c>
      <c r="B28" s="27">
        <v>7762796.4100000001</v>
      </c>
      <c r="C28" s="29">
        <f>3300000+250000-60000</f>
        <v>3490000</v>
      </c>
      <c r="D28" s="29">
        <f>1500000+500000-D13</f>
        <v>1880000</v>
      </c>
    </row>
    <row r="29" spans="1:4" ht="13" thickBot="1">
      <c r="A29" s="7" t="s">
        <v>31</v>
      </c>
      <c r="B29" s="31">
        <v>1000000</v>
      </c>
      <c r="C29" s="31">
        <v>1500000</v>
      </c>
      <c r="D29" s="31">
        <v>1500000</v>
      </c>
    </row>
    <row r="30" spans="1:4" s="1" customFormat="1" ht="13" thickTop="1">
      <c r="A30" s="3" t="s">
        <v>12</v>
      </c>
      <c r="B30" s="32">
        <f>SUM(B19:B29)</f>
        <v>10779975.440205611</v>
      </c>
      <c r="C30" s="32">
        <f>SUM(C19:C29)</f>
        <v>8014303.3691188414</v>
      </c>
      <c r="D30" s="32">
        <f>SUM(D19:D29)</f>
        <v>6845304.9863985516</v>
      </c>
    </row>
    <row r="31" spans="1:4">
      <c r="A31" s="7"/>
      <c r="B31" s="27"/>
      <c r="C31" s="27"/>
      <c r="D31" s="27"/>
    </row>
    <row r="32" spans="1:4">
      <c r="A32" s="7"/>
      <c r="B32" s="27"/>
      <c r="C32" s="27"/>
      <c r="D32" s="27"/>
    </row>
    <row r="33" spans="1:4" s="1" customFormat="1" ht="13" thickBot="1">
      <c r="A33" s="3" t="s">
        <v>13</v>
      </c>
      <c r="B33" s="33">
        <f>B30+B15</f>
        <v>12962346.756935507</v>
      </c>
      <c r="C33" s="33">
        <f>C30+C15</f>
        <v>10111787.859999999</v>
      </c>
      <c r="D33" s="33">
        <f>D30+D15</f>
        <v>9221907.8060000017</v>
      </c>
    </row>
    <row r="34" spans="1:4" ht="13" thickTop="1"/>
    <row r="35" spans="1:4">
      <c r="A35" s="2" t="s">
        <v>14</v>
      </c>
      <c r="B35">
        <v>1393</v>
      </c>
      <c r="C35">
        <v>1599</v>
      </c>
      <c r="D35">
        <v>1800</v>
      </c>
    </row>
    <row r="37" spans="1:4">
      <c r="A37" s="1" t="s">
        <v>28</v>
      </c>
      <c r="B37" s="14">
        <f>B33/B35</f>
        <v>9305.3458413033077</v>
      </c>
      <c r="C37" s="14">
        <f>C33/C35</f>
        <v>6323.819799874921</v>
      </c>
      <c r="D37" s="14">
        <f>D33/D35</f>
        <v>5123.2821144444451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</row>
    <row r="43" spans="1:4">
      <c r="A43" t="s">
        <v>16</v>
      </c>
    </row>
    <row r="45" spans="1:4">
      <c r="A45" t="s">
        <v>17</v>
      </c>
      <c r="B45">
        <v>175</v>
      </c>
      <c r="C45">
        <v>175</v>
      </c>
      <c r="D45">
        <v>175</v>
      </c>
    </row>
    <row r="47" spans="1:4">
      <c r="A47" t="s">
        <v>18</v>
      </c>
      <c r="B47" s="34">
        <f>206948/B35</f>
        <v>148.56281407035175</v>
      </c>
      <c r="C47" s="34">
        <f>C54/C35</f>
        <v>151.31207004377737</v>
      </c>
      <c r="D47" s="34">
        <f>D54/D35</f>
        <v>153.86000000000001</v>
      </c>
    </row>
    <row r="48" spans="1:4">
      <c r="B48" s="34"/>
      <c r="C48" s="34"/>
      <c r="D48" s="34"/>
    </row>
    <row r="49" spans="1:4">
      <c r="A49" s="1" t="s">
        <v>29</v>
      </c>
      <c r="B49" s="34">
        <f>B37*B45/B47</f>
        <v>10961.25926543728</v>
      </c>
      <c r="C49" s="34">
        <f>C37*C45/C47</f>
        <v>7313.8148507117221</v>
      </c>
      <c r="D49" s="34">
        <f>D37*D45/D47</f>
        <v>5827.2089563744821</v>
      </c>
    </row>
    <row r="50" spans="1:4">
      <c r="B50" s="34"/>
      <c r="C50" s="34"/>
      <c r="D50" s="34"/>
    </row>
    <row r="51" spans="1:4">
      <c r="A51" s="1" t="s">
        <v>30</v>
      </c>
      <c r="B51" s="34">
        <f>B49*B35</f>
        <v>15269034.15675413</v>
      </c>
      <c r="C51" s="34">
        <f>C49*C35</f>
        <v>11694789.946288044</v>
      </c>
      <c r="D51" s="34">
        <f>D49*D35</f>
        <v>10488976.121474069</v>
      </c>
    </row>
    <row r="52" spans="1:4">
      <c r="B52" s="34"/>
      <c r="C52" s="34"/>
      <c r="D52" s="34"/>
    </row>
    <row r="53" spans="1:4">
      <c r="B53" s="34"/>
      <c r="C53" s="34"/>
      <c r="D53" s="34"/>
    </row>
    <row r="54" spans="1:4" hidden="1">
      <c r="A54" t="s">
        <v>39</v>
      </c>
      <c r="B54" s="34">
        <v>206948</v>
      </c>
      <c r="C54" s="34">
        <v>241948</v>
      </c>
      <c r="D54" s="34">
        <f>C54+35000</f>
        <v>276948</v>
      </c>
    </row>
  </sheetData>
  <phoneticPr fontId="4" type="noConversion"/>
  <printOptions gridLines="1"/>
  <pageMargins left="0.25" right="0.25" top="1.25" bottom="0.5" header="0.5" footer="0.5"/>
  <pageSetup scale="98"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pageSetUpPr fitToPage="1"/>
  </sheetPr>
  <dimension ref="A1:F54"/>
  <sheetViews>
    <sheetView topLeftCell="A19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6.5" customWidth="1"/>
    <col min="3" max="3" width="12" customWidth="1"/>
    <col min="4" max="4" width="12.5" customWidth="1"/>
    <col min="5" max="5" width="4.83203125" customWidth="1"/>
  </cols>
  <sheetData>
    <row r="1" spans="1:5" ht="24">
      <c r="A1" s="120" t="s">
        <v>0</v>
      </c>
      <c r="B1" s="4" t="s">
        <v>34</v>
      </c>
      <c r="C1" s="4" t="s">
        <v>32</v>
      </c>
      <c r="D1" s="4" t="s">
        <v>33</v>
      </c>
    </row>
    <row r="2" spans="1:5">
      <c r="A2" s="116" t="s">
        <v>19</v>
      </c>
      <c r="B2" s="20"/>
      <c r="C2" s="20"/>
      <c r="D2" s="20"/>
    </row>
    <row r="3" spans="1:5">
      <c r="A3" s="116" t="s">
        <v>20</v>
      </c>
      <c r="B3" s="20">
        <f>20792+3100+6892</f>
        <v>30784</v>
      </c>
      <c r="C3" s="20">
        <v>61390</v>
      </c>
      <c r="D3" s="20">
        <v>80000</v>
      </c>
    </row>
    <row r="4" spans="1:5">
      <c r="A4" s="116" t="s">
        <v>1</v>
      </c>
      <c r="B4" s="20">
        <f>460113+1370</f>
        <v>461483</v>
      </c>
      <c r="C4" s="20">
        <f>44011.17*12-72000</f>
        <v>456134.04000000004</v>
      </c>
      <c r="D4" s="20">
        <v>960000</v>
      </c>
    </row>
    <row r="5" spans="1:5">
      <c r="A5" s="7" t="s">
        <v>11</v>
      </c>
      <c r="B5" s="20">
        <v>9188</v>
      </c>
      <c r="C5" s="20">
        <v>72000</v>
      </c>
      <c r="D5" s="20">
        <v>72000</v>
      </c>
    </row>
    <row r="6" spans="1:5">
      <c r="A6" s="7" t="s">
        <v>2</v>
      </c>
      <c r="B6" s="20"/>
      <c r="C6" s="20"/>
      <c r="D6" s="20"/>
      <c r="E6" s="121"/>
    </row>
    <row r="7" spans="1:5">
      <c r="A7" s="7" t="s">
        <v>3</v>
      </c>
      <c r="B7" s="20"/>
      <c r="C7" s="20"/>
      <c r="D7" s="20"/>
      <c r="E7" s="121"/>
    </row>
    <row r="8" spans="1:5">
      <c r="A8" s="7" t="s">
        <v>22</v>
      </c>
      <c r="B8" s="20">
        <v>9733</v>
      </c>
      <c r="C8" s="20">
        <v>12787</v>
      </c>
      <c r="D8" s="20">
        <v>60000</v>
      </c>
    </row>
    <row r="9" spans="1:5">
      <c r="A9" s="7" t="s">
        <v>23</v>
      </c>
      <c r="B9" s="20"/>
      <c r="C9" s="20"/>
      <c r="D9" s="20"/>
    </row>
    <row r="10" spans="1:5">
      <c r="A10" s="7" t="s">
        <v>4</v>
      </c>
      <c r="B10" s="20"/>
      <c r="C10" s="20"/>
      <c r="D10" s="20"/>
    </row>
    <row r="11" spans="1:5">
      <c r="A11" s="7" t="s">
        <v>5</v>
      </c>
      <c r="B11" s="20"/>
      <c r="C11" s="20"/>
      <c r="D11" s="20"/>
    </row>
    <row r="12" spans="1:5">
      <c r="A12" s="7" t="s">
        <v>21</v>
      </c>
      <c r="B12" s="20"/>
      <c r="C12" s="20"/>
      <c r="D12" s="20"/>
    </row>
    <row r="13" spans="1:5">
      <c r="A13" s="7" t="s">
        <v>24</v>
      </c>
      <c r="B13" s="20"/>
      <c r="C13" s="20"/>
      <c r="D13" s="20"/>
    </row>
    <row r="14" spans="1:5">
      <c r="A14" s="7" t="s">
        <v>31</v>
      </c>
      <c r="B14" s="20"/>
      <c r="C14" s="20"/>
      <c r="D14" s="20"/>
    </row>
    <row r="15" spans="1:5">
      <c r="A15" s="3" t="s">
        <v>6</v>
      </c>
      <c r="B15" s="20">
        <f>SUM(B2:B14)</f>
        <v>511188</v>
      </c>
      <c r="C15" s="20">
        <f>SUM(C2:C14)</f>
        <v>602311.04</v>
      </c>
      <c r="D15" s="20">
        <f>SUM(D2:D14)</f>
        <v>1172000</v>
      </c>
    </row>
    <row r="16" spans="1:5">
      <c r="A16" s="7"/>
      <c r="B16" s="20"/>
      <c r="C16" s="20"/>
      <c r="D16" s="20"/>
    </row>
    <row r="17" spans="1:6">
      <c r="A17" s="7"/>
      <c r="B17" s="20"/>
      <c r="C17" s="20"/>
      <c r="D17" s="20"/>
    </row>
    <row r="18" spans="1:6">
      <c r="A18" s="3" t="s">
        <v>7</v>
      </c>
      <c r="B18" s="20"/>
      <c r="C18" s="20"/>
      <c r="D18" s="20"/>
    </row>
    <row r="19" spans="1:6">
      <c r="A19" s="116" t="s">
        <v>19</v>
      </c>
      <c r="B19" s="20"/>
      <c r="C19" s="20"/>
      <c r="D19" s="20"/>
    </row>
    <row r="20" spans="1:6">
      <c r="A20" s="116" t="s">
        <v>20</v>
      </c>
      <c r="B20" s="20"/>
      <c r="C20" s="20"/>
      <c r="D20" s="20"/>
    </row>
    <row r="21" spans="1:6">
      <c r="A21" s="7" t="s">
        <v>2</v>
      </c>
      <c r="B21" s="20"/>
      <c r="C21" s="20"/>
      <c r="D21" s="20"/>
    </row>
    <row r="22" spans="1:6">
      <c r="A22" s="7" t="s">
        <v>3</v>
      </c>
      <c r="B22" s="20"/>
      <c r="C22" s="20"/>
      <c r="D22" s="20"/>
    </row>
    <row r="23" spans="1:6">
      <c r="A23" s="7" t="s">
        <v>25</v>
      </c>
      <c r="B23" s="20"/>
      <c r="C23" s="20"/>
      <c r="D23" s="20"/>
    </row>
    <row r="24" spans="1:6">
      <c r="A24" s="7" t="s">
        <v>8</v>
      </c>
      <c r="B24" s="20"/>
      <c r="C24" s="20"/>
      <c r="D24" s="20"/>
    </row>
    <row r="25" spans="1:6">
      <c r="A25" s="7" t="s">
        <v>4</v>
      </c>
      <c r="B25" s="20"/>
      <c r="C25" s="20"/>
      <c r="D25" s="20"/>
    </row>
    <row r="26" spans="1:6">
      <c r="A26" s="7" t="s">
        <v>9</v>
      </c>
      <c r="B26" s="20"/>
      <c r="C26" s="20"/>
      <c r="D26" s="20"/>
    </row>
    <row r="27" spans="1:6">
      <c r="A27" s="7" t="s">
        <v>10</v>
      </c>
      <c r="B27" s="20"/>
      <c r="C27" s="20"/>
      <c r="D27" s="20"/>
    </row>
    <row r="28" spans="1:6">
      <c r="A28" s="7" t="s">
        <v>26</v>
      </c>
      <c r="B28" s="20">
        <v>16965</v>
      </c>
      <c r="C28" s="20">
        <v>20000</v>
      </c>
      <c r="D28" s="20"/>
      <c r="F28" t="s">
        <v>75</v>
      </c>
    </row>
    <row r="29" spans="1:6">
      <c r="A29" s="7" t="s">
        <v>31</v>
      </c>
      <c r="B29" s="20"/>
      <c r="C29" s="20"/>
      <c r="D29" s="20"/>
    </row>
    <row r="30" spans="1:6">
      <c r="A30" s="3" t="s">
        <v>12</v>
      </c>
      <c r="B30" s="20">
        <f>SUM(B19:B29)</f>
        <v>16965</v>
      </c>
      <c r="C30" s="20">
        <f>SUM(C19:C29)</f>
        <v>20000</v>
      </c>
      <c r="D30" s="20">
        <f>SUM(D19:D29)</f>
        <v>0</v>
      </c>
    </row>
    <row r="31" spans="1:6">
      <c r="A31" s="7"/>
      <c r="B31" s="20"/>
      <c r="C31" s="20"/>
      <c r="D31" s="20"/>
    </row>
    <row r="32" spans="1:6">
      <c r="A32" s="7"/>
      <c r="B32" s="20"/>
      <c r="C32" s="20"/>
      <c r="D32" s="20"/>
    </row>
    <row r="33" spans="1:6">
      <c r="A33" s="3" t="s">
        <v>13</v>
      </c>
      <c r="B33" s="20">
        <f>B30+B15</f>
        <v>528153</v>
      </c>
      <c r="C33" s="20">
        <f>C30+C15</f>
        <v>622311.04</v>
      </c>
      <c r="D33" s="20">
        <f>D30+D15</f>
        <v>1172000</v>
      </c>
    </row>
    <row r="35" spans="1:6">
      <c r="A35" s="117" t="s">
        <v>14</v>
      </c>
      <c r="B35">
        <v>129</v>
      </c>
      <c r="C35">
        <v>198</v>
      </c>
      <c r="D35">
        <v>244</v>
      </c>
    </row>
    <row r="36" spans="1:6">
      <c r="A36" s="117"/>
    </row>
    <row r="37" spans="1:6">
      <c r="A37" s="117" t="s">
        <v>37</v>
      </c>
      <c r="B37" s="21">
        <v>20367</v>
      </c>
      <c r="C37" s="21">
        <v>20367</v>
      </c>
      <c r="D37" s="21">
        <v>40000</v>
      </c>
    </row>
    <row r="38" spans="1:6">
      <c r="A38" s="122" t="s">
        <v>38</v>
      </c>
      <c r="B38" s="23">
        <f>B33/B37</f>
        <v>25.931801443511564</v>
      </c>
      <c r="C38" s="23">
        <f>C33/C37</f>
        <v>30.55487013305838</v>
      </c>
      <c r="D38" s="23">
        <f>D33/D37</f>
        <v>29.3</v>
      </c>
    </row>
    <row r="39" spans="1:6">
      <c r="A39" s="122"/>
    </row>
    <row r="40" spans="1:6">
      <c r="A40" s="1" t="s">
        <v>28</v>
      </c>
      <c r="B40" s="24">
        <f>B33/B35</f>
        <v>4094.2093023255816</v>
      </c>
      <c r="C40" s="24">
        <f>C33/C35</f>
        <v>3142.9850505050508</v>
      </c>
      <c r="D40" s="24">
        <f>D33/D35</f>
        <v>4803.2786885245905</v>
      </c>
    </row>
    <row r="42" spans="1:6">
      <c r="A42" s="1" t="s">
        <v>15</v>
      </c>
    </row>
    <row r="43" spans="1:6" hidden="1"/>
    <row r="44" spans="1:6" hidden="1"/>
    <row r="45" spans="1:6">
      <c r="A45" s="1" t="s">
        <v>27</v>
      </c>
      <c r="B45" t="s">
        <v>35</v>
      </c>
    </row>
    <row r="46" spans="1:6">
      <c r="A46" t="s">
        <v>16</v>
      </c>
    </row>
    <row r="48" spans="1:6">
      <c r="A48" t="s">
        <v>17</v>
      </c>
      <c r="B48">
        <f>AVERAGE(140,190)</f>
        <v>165</v>
      </c>
      <c r="C48">
        <f>AVERAGE(140,190)</f>
        <v>165</v>
      </c>
      <c r="D48">
        <f>AVERAGE(140,190)</f>
        <v>165</v>
      </c>
      <c r="F48" t="s">
        <v>76</v>
      </c>
    </row>
    <row r="50" spans="1:4">
      <c r="A50" t="s">
        <v>18</v>
      </c>
      <c r="B50" s="21">
        <f>B37/B35</f>
        <v>157.88372093023256</v>
      </c>
      <c r="C50" s="21">
        <f>C37/C35</f>
        <v>102.86363636363636</v>
      </c>
      <c r="D50" s="21">
        <f>D37/D35</f>
        <v>163.9344262295082</v>
      </c>
    </row>
    <row r="52" spans="1:4">
      <c r="A52" s="1" t="s">
        <v>29</v>
      </c>
      <c r="B52" s="24">
        <f>B40*(B48/B50)</f>
        <v>4278.7472381794087</v>
      </c>
      <c r="C52" s="24">
        <f>C40*(C48/C50)</f>
        <v>5041.5535719546333</v>
      </c>
      <c r="D52" s="24">
        <f>D40*(D48/D50)</f>
        <v>4834.5</v>
      </c>
    </row>
    <row r="53" spans="1:4">
      <c r="B53" s="24"/>
      <c r="C53" s="24"/>
      <c r="D53" s="24"/>
    </row>
    <row r="54" spans="1:4">
      <c r="A54" s="1" t="s">
        <v>30</v>
      </c>
      <c r="B54" s="24">
        <f>B33*(B48/B50)</f>
        <v>551958.39372514363</v>
      </c>
      <c r="C54" s="24">
        <f>C33*(C48/C50)</f>
        <v>998227.60724701744</v>
      </c>
      <c r="D54" s="24">
        <f>D33*(D48/D50)</f>
        <v>1179618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/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6">
        <v>3386</v>
      </c>
      <c r="C2" s="6">
        <v>4000</v>
      </c>
      <c r="D2" s="6">
        <v>4600</v>
      </c>
    </row>
    <row r="3" spans="1:4">
      <c r="A3" s="5" t="s">
        <v>20</v>
      </c>
      <c r="B3" s="6">
        <v>16836</v>
      </c>
      <c r="C3" s="6">
        <v>18900</v>
      </c>
      <c r="D3" s="6">
        <v>33720</v>
      </c>
    </row>
    <row r="4" spans="1:4">
      <c r="A4" s="5" t="s">
        <v>1</v>
      </c>
      <c r="B4" s="8">
        <v>77000</v>
      </c>
      <c r="C4" s="8">
        <v>88500</v>
      </c>
      <c r="D4" s="8">
        <v>90000</v>
      </c>
    </row>
    <row r="5" spans="1:4">
      <c r="A5" s="7" t="s">
        <v>11</v>
      </c>
      <c r="B5" s="8"/>
      <c r="C5" s="8"/>
      <c r="D5" s="8"/>
    </row>
    <row r="6" spans="1:4">
      <c r="A6" s="7" t="s">
        <v>2</v>
      </c>
      <c r="B6" s="8"/>
      <c r="C6" s="8"/>
      <c r="D6" s="8"/>
    </row>
    <row r="7" spans="1:4">
      <c r="A7" s="7" t="s">
        <v>3</v>
      </c>
      <c r="B7" s="8"/>
      <c r="C7" s="8"/>
      <c r="D7" s="8"/>
    </row>
    <row r="8" spans="1:4">
      <c r="A8" s="7" t="s">
        <v>22</v>
      </c>
      <c r="B8" s="8">
        <v>18477</v>
      </c>
      <c r="C8" s="8">
        <v>21500</v>
      </c>
      <c r="D8" s="8">
        <v>21500</v>
      </c>
    </row>
    <row r="9" spans="1:4">
      <c r="A9" s="7" t="s">
        <v>23</v>
      </c>
      <c r="B9" s="8"/>
      <c r="C9" s="8"/>
      <c r="D9" s="8"/>
    </row>
    <row r="10" spans="1:4">
      <c r="A10" s="7" t="s">
        <v>4</v>
      </c>
      <c r="B10" s="8"/>
      <c r="C10" s="8"/>
      <c r="D10" s="8"/>
    </row>
    <row r="11" spans="1:4">
      <c r="A11" s="7" t="s">
        <v>5</v>
      </c>
      <c r="B11" s="8"/>
      <c r="C11" s="8"/>
      <c r="D11" s="8"/>
    </row>
    <row r="12" spans="1:4">
      <c r="A12" s="7" t="s">
        <v>21</v>
      </c>
      <c r="B12" s="8"/>
      <c r="C12" s="8"/>
      <c r="D12" s="8"/>
    </row>
    <row r="13" spans="1:4">
      <c r="A13" s="7" t="s">
        <v>24</v>
      </c>
      <c r="B13" s="8">
        <v>19225</v>
      </c>
      <c r="C13" s="8">
        <v>18000</v>
      </c>
      <c r="D13" s="8">
        <v>18000</v>
      </c>
    </row>
    <row r="14" spans="1:4">
      <c r="A14" s="7" t="s">
        <v>31</v>
      </c>
      <c r="B14" s="8"/>
      <c r="C14" s="8"/>
      <c r="D14" s="8"/>
    </row>
    <row r="15" spans="1:4">
      <c r="A15" s="3" t="s">
        <v>6</v>
      </c>
      <c r="B15" s="8">
        <f>SUM(B2:B14)</f>
        <v>134924</v>
      </c>
      <c r="C15" s="8">
        <f>SUM(C2:C14)</f>
        <v>150900</v>
      </c>
      <c r="D15" s="8">
        <f>SUM(D2:D14)</f>
        <v>167820</v>
      </c>
    </row>
    <row r="16" spans="1:4">
      <c r="A16" s="7"/>
      <c r="B16" s="8"/>
      <c r="C16" s="8"/>
      <c r="D16" s="8"/>
    </row>
    <row r="17" spans="1:4">
      <c r="A17" s="7"/>
      <c r="B17" s="8"/>
      <c r="C17" s="8"/>
      <c r="D17" s="8"/>
    </row>
    <row r="18" spans="1:4">
      <c r="A18" s="3" t="s">
        <v>7</v>
      </c>
      <c r="B18" s="8"/>
      <c r="C18" s="8"/>
      <c r="D18" s="8"/>
    </row>
    <row r="19" spans="1:4">
      <c r="A19" s="5" t="s">
        <v>19</v>
      </c>
      <c r="B19" s="8">
        <v>72661</v>
      </c>
      <c r="C19" s="8">
        <v>78000</v>
      </c>
      <c r="D19" s="8">
        <v>83460</v>
      </c>
    </row>
    <row r="20" spans="1:4">
      <c r="A20" s="5" t="s">
        <v>20</v>
      </c>
      <c r="B20" s="8">
        <v>180717</v>
      </c>
      <c r="C20" s="8">
        <v>165000</v>
      </c>
      <c r="D20" s="8">
        <v>160200</v>
      </c>
    </row>
    <row r="21" spans="1:4">
      <c r="A21" s="7" t="s">
        <v>2</v>
      </c>
      <c r="B21" s="8"/>
      <c r="C21" s="8"/>
      <c r="D21" s="8"/>
    </row>
    <row r="22" spans="1:4">
      <c r="A22" s="7" t="s">
        <v>3</v>
      </c>
      <c r="B22" s="8">
        <v>9680</v>
      </c>
      <c r="C22" s="8">
        <v>10000</v>
      </c>
      <c r="D22" s="8">
        <v>10500</v>
      </c>
    </row>
    <row r="23" spans="1:4">
      <c r="A23" s="7" t="s">
        <v>25</v>
      </c>
      <c r="B23" s="8">
        <v>154812</v>
      </c>
      <c r="C23" s="8">
        <v>160000</v>
      </c>
      <c r="D23" s="8">
        <v>160000</v>
      </c>
    </row>
    <row r="24" spans="1:4">
      <c r="A24" s="7" t="s">
        <v>8</v>
      </c>
      <c r="B24" s="8"/>
      <c r="C24" s="8"/>
      <c r="D24" s="8"/>
    </row>
    <row r="25" spans="1:4">
      <c r="A25" s="7" t="s">
        <v>4</v>
      </c>
      <c r="B25" s="8">
        <v>265858</v>
      </c>
      <c r="C25" s="8">
        <v>266937</v>
      </c>
      <c r="D25" s="8">
        <v>262553</v>
      </c>
    </row>
    <row r="26" spans="1:4">
      <c r="A26" s="7" t="s">
        <v>9</v>
      </c>
      <c r="B26" s="8">
        <v>47431</v>
      </c>
      <c r="C26" s="8">
        <v>47318</v>
      </c>
      <c r="D26" s="8">
        <v>47702</v>
      </c>
    </row>
    <row r="27" spans="1:4">
      <c r="A27" s="7" t="s">
        <v>10</v>
      </c>
      <c r="B27" s="8"/>
      <c r="C27" s="8"/>
      <c r="D27" s="8"/>
    </row>
    <row r="28" spans="1:4">
      <c r="A28" s="7" t="s">
        <v>26</v>
      </c>
      <c r="B28" s="8">
        <v>86699</v>
      </c>
      <c r="C28" s="8">
        <v>50000</v>
      </c>
      <c r="D28" s="8">
        <v>50000</v>
      </c>
    </row>
    <row r="29" spans="1:4">
      <c r="A29" s="7" t="s">
        <v>31</v>
      </c>
      <c r="B29" s="8"/>
      <c r="C29" s="8"/>
      <c r="D29" s="8"/>
    </row>
    <row r="30" spans="1:4">
      <c r="A30" s="3" t="s">
        <v>12</v>
      </c>
      <c r="B30" s="8">
        <f>SUM(B19:B29)</f>
        <v>817858</v>
      </c>
      <c r="C30" s="8">
        <f>SUM(C19:C29)</f>
        <v>777255</v>
      </c>
      <c r="D30" s="8">
        <f>SUM(D19:D29)</f>
        <v>774415</v>
      </c>
    </row>
    <row r="31" spans="1:4">
      <c r="A31" s="7"/>
      <c r="B31" s="8"/>
      <c r="C31" s="8"/>
      <c r="D31" s="8"/>
    </row>
    <row r="32" spans="1:4">
      <c r="A32" s="7"/>
      <c r="B32" s="8"/>
      <c r="C32" s="8"/>
      <c r="D32" s="8"/>
    </row>
    <row r="33" spans="1:4">
      <c r="A33" s="3" t="s">
        <v>13</v>
      </c>
      <c r="B33" s="8">
        <f>B30+B15</f>
        <v>952782</v>
      </c>
      <c r="C33" s="8">
        <f>C30+C15</f>
        <v>928155</v>
      </c>
      <c r="D33" s="8">
        <f>D30+D15</f>
        <v>942235</v>
      </c>
    </row>
    <row r="34" spans="1:4">
      <c r="B34" s="9"/>
      <c r="C34" s="9"/>
      <c r="D34" s="9"/>
    </row>
    <row r="35" spans="1:4">
      <c r="A35" s="2" t="s">
        <v>14</v>
      </c>
      <c r="B35" s="9">
        <v>320</v>
      </c>
      <c r="C35" s="9">
        <v>325</v>
      </c>
      <c r="D35" s="9">
        <v>325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50">
        <v>16318</v>
      </c>
      <c r="C2" s="6"/>
      <c r="D2" s="6"/>
    </row>
    <row r="3" spans="1:4">
      <c r="A3" s="5" t="s">
        <v>20</v>
      </c>
      <c r="B3" s="50">
        <v>21626</v>
      </c>
      <c r="C3" s="6"/>
      <c r="D3" s="6"/>
    </row>
    <row r="4" spans="1:4">
      <c r="A4" s="5" t="s">
        <v>1</v>
      </c>
      <c r="B4" s="52">
        <v>196117</v>
      </c>
      <c r="C4" s="20"/>
      <c r="D4" s="20"/>
    </row>
    <row r="5" spans="1:4">
      <c r="A5" s="7" t="s">
        <v>11</v>
      </c>
      <c r="B5" s="20"/>
      <c r="C5" s="20"/>
      <c r="D5" s="20"/>
    </row>
    <row r="6" spans="1:4">
      <c r="A6" s="7" t="s">
        <v>2</v>
      </c>
      <c r="B6" s="20"/>
      <c r="C6" s="20"/>
      <c r="D6" s="20"/>
    </row>
    <row r="7" spans="1:4">
      <c r="A7" s="7" t="s">
        <v>3</v>
      </c>
      <c r="B7" s="20"/>
      <c r="C7" s="20"/>
      <c r="D7" s="20"/>
    </row>
    <row r="8" spans="1:4">
      <c r="A8" s="7" t="s">
        <v>22</v>
      </c>
      <c r="B8" s="20">
        <v>748</v>
      </c>
      <c r="C8" s="20"/>
      <c r="D8" s="20"/>
    </row>
    <row r="9" spans="1:4">
      <c r="A9" s="7" t="s">
        <v>23</v>
      </c>
      <c r="B9" s="20"/>
      <c r="C9" s="20"/>
      <c r="D9" s="20"/>
    </row>
    <row r="10" spans="1:4">
      <c r="A10" s="7" t="s">
        <v>4</v>
      </c>
      <c r="B10" s="20"/>
      <c r="C10" s="20"/>
      <c r="D10" s="20"/>
    </row>
    <row r="11" spans="1:4">
      <c r="A11" s="7" t="s">
        <v>5</v>
      </c>
      <c r="B11" s="20"/>
      <c r="C11" s="20"/>
      <c r="D11" s="20"/>
    </row>
    <row r="12" spans="1:4">
      <c r="A12" s="7" t="s">
        <v>21</v>
      </c>
      <c r="B12" s="20"/>
      <c r="C12" s="20"/>
      <c r="D12" s="20"/>
    </row>
    <row r="13" spans="1:4">
      <c r="A13" s="7" t="s">
        <v>24</v>
      </c>
      <c r="B13" s="20"/>
      <c r="C13" s="20"/>
      <c r="D13" s="20"/>
    </row>
    <row r="14" spans="1:4">
      <c r="A14" s="7" t="s">
        <v>31</v>
      </c>
      <c r="B14" s="20"/>
      <c r="C14" s="20"/>
      <c r="D14" s="20"/>
    </row>
    <row r="15" spans="1:4">
      <c r="A15" s="3" t="s">
        <v>6</v>
      </c>
      <c r="B15" s="20">
        <f>SUM(B2:B14)</f>
        <v>234809</v>
      </c>
      <c r="C15" s="20"/>
      <c r="D15" s="20"/>
    </row>
    <row r="16" spans="1:4">
      <c r="A16" s="7"/>
      <c r="B16" s="20"/>
      <c r="C16" s="20"/>
      <c r="D16" s="20"/>
    </row>
    <row r="17" spans="1:4">
      <c r="A17" s="7"/>
      <c r="B17" s="20"/>
      <c r="C17" s="20"/>
      <c r="D17" s="20"/>
    </row>
    <row r="18" spans="1:4">
      <c r="A18" s="3" t="s">
        <v>7</v>
      </c>
      <c r="B18" s="20"/>
      <c r="C18" s="20"/>
      <c r="D18" s="20"/>
    </row>
    <row r="19" spans="1:4">
      <c r="A19" s="5" t="s">
        <v>19</v>
      </c>
      <c r="B19" s="20"/>
      <c r="C19" s="20"/>
      <c r="D19" s="20"/>
    </row>
    <row r="20" spans="1:4">
      <c r="A20" s="5" t="s">
        <v>20</v>
      </c>
      <c r="B20" s="20"/>
      <c r="C20" s="20"/>
      <c r="D20" s="20"/>
    </row>
    <row r="21" spans="1:4">
      <c r="A21" s="7" t="s">
        <v>2</v>
      </c>
      <c r="B21" s="20"/>
      <c r="C21" s="20"/>
      <c r="D21" s="20"/>
    </row>
    <row r="22" spans="1:4">
      <c r="A22" s="7" t="s">
        <v>3</v>
      </c>
      <c r="B22" s="20"/>
      <c r="C22" s="20"/>
      <c r="D22" s="20"/>
    </row>
    <row r="23" spans="1:4">
      <c r="A23" s="7" t="s">
        <v>25</v>
      </c>
      <c r="B23" s="20"/>
      <c r="C23" s="20"/>
      <c r="D23" s="20"/>
    </row>
    <row r="24" spans="1:4">
      <c r="A24" s="7" t="s">
        <v>8</v>
      </c>
      <c r="B24" s="20"/>
      <c r="C24" s="20"/>
      <c r="D24" s="20"/>
    </row>
    <row r="25" spans="1:4">
      <c r="A25" s="7" t="s">
        <v>4</v>
      </c>
      <c r="B25" s="20"/>
      <c r="C25" s="20"/>
      <c r="D25" s="20"/>
    </row>
    <row r="26" spans="1:4">
      <c r="A26" s="7" t="s">
        <v>9</v>
      </c>
      <c r="B26" s="20"/>
      <c r="C26" s="20"/>
      <c r="D26" s="20"/>
    </row>
    <row r="27" spans="1:4">
      <c r="A27" s="7" t="s">
        <v>10</v>
      </c>
      <c r="B27" s="20"/>
      <c r="C27" s="20"/>
      <c r="D27" s="20"/>
    </row>
    <row r="28" spans="1:4">
      <c r="A28" s="7" t="s">
        <v>26</v>
      </c>
      <c r="B28" s="20"/>
      <c r="C28" s="20"/>
      <c r="D28" s="20"/>
    </row>
    <row r="29" spans="1:4">
      <c r="A29" s="7" t="s">
        <v>31</v>
      </c>
      <c r="B29" s="20"/>
      <c r="C29" s="20"/>
      <c r="D29" s="20"/>
    </row>
    <row r="30" spans="1:4">
      <c r="A30" s="3" t="s">
        <v>12</v>
      </c>
      <c r="B30" s="20"/>
      <c r="C30" s="20"/>
      <c r="D30" s="20"/>
    </row>
    <row r="31" spans="1:4">
      <c r="A31" s="7"/>
      <c r="B31" s="20"/>
      <c r="C31" s="20"/>
      <c r="D31" s="20"/>
    </row>
    <row r="32" spans="1:4">
      <c r="A32" s="7"/>
      <c r="B32" s="20"/>
      <c r="C32" s="20"/>
      <c r="D32" s="20"/>
    </row>
    <row r="33" spans="1:4">
      <c r="A33" s="3" t="s">
        <v>13</v>
      </c>
      <c r="B33" s="20">
        <f>B15+B30</f>
        <v>234809</v>
      </c>
      <c r="C33" s="20"/>
      <c r="D33" s="20"/>
    </row>
    <row r="34" spans="1:4">
      <c r="B34" s="24"/>
      <c r="C34" s="24"/>
      <c r="D34" s="24"/>
    </row>
    <row r="35" spans="1:4">
      <c r="A35" s="2" t="s">
        <v>14</v>
      </c>
      <c r="B35" s="24"/>
      <c r="C35" s="24"/>
      <c r="D35" s="24"/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30"/>
  <sheetViews>
    <sheetView zoomScale="80" zoomScaleNormal="80" zoomScalePageLayoutView="80" workbookViewId="0">
      <pane xSplit="1" ySplit="3" topLeftCell="J4" activePane="bottomRight" state="frozenSplit"/>
      <selection activeCell="E65" sqref="E65"/>
      <selection pane="topRight" activeCell="E65" sqref="E65"/>
      <selection pane="bottomLeft" activeCell="E65" sqref="E65"/>
      <selection pane="bottomRight" activeCell="AF127" sqref="AF127"/>
    </sheetView>
  </sheetViews>
  <sheetFormatPr baseColWidth="10" defaultColWidth="9.1640625" defaultRowHeight="12" x14ac:dyDescent="0"/>
  <cols>
    <col min="1" max="1" width="30.6640625" style="169" customWidth="1"/>
    <col min="2" max="2" width="12.5" style="169" customWidth="1"/>
    <col min="3" max="3" width="12.1640625" style="169" customWidth="1"/>
    <col min="4" max="4" width="15" style="169" customWidth="1"/>
    <col min="5" max="5" width="11.5" style="169" customWidth="1"/>
    <col min="6" max="6" width="13.5" style="169" bestFit="1" customWidth="1"/>
    <col min="7" max="7" width="12" style="169" bestFit="1" customWidth="1"/>
    <col min="8" max="8" width="12.33203125" style="169" customWidth="1"/>
    <col min="9" max="10" width="13.5" style="169" bestFit="1" customWidth="1"/>
    <col min="11" max="11" width="12" style="169" bestFit="1" customWidth="1"/>
    <col min="12" max="12" width="14.5" style="169" customWidth="1"/>
    <col min="13" max="13" width="13.5" style="169" customWidth="1"/>
    <col min="14" max="14" width="13.33203125" style="169" customWidth="1"/>
    <col min="15" max="15" width="0.83203125" style="169" customWidth="1"/>
    <col min="16" max="16" width="12" style="169" bestFit="1" customWidth="1"/>
    <col min="17" max="17" width="13.5" style="169" bestFit="1" customWidth="1"/>
    <col min="18" max="19" width="12" style="169" bestFit="1" customWidth="1"/>
    <col min="20" max="20" width="14.83203125" style="169" customWidth="1"/>
    <col min="21" max="21" width="13.5" style="169" bestFit="1" customWidth="1"/>
    <col min="22" max="22" width="14.5" style="169" bestFit="1" customWidth="1"/>
    <col min="23" max="23" width="12" style="169" customWidth="1"/>
    <col min="24" max="25" width="13.5" style="169" bestFit="1" customWidth="1"/>
    <col min="26" max="26" width="14.5" style="169" bestFit="1" customWidth="1"/>
    <col min="27" max="27" width="1.6640625" style="169" customWidth="1"/>
    <col min="28" max="28" width="14.33203125" style="169" customWidth="1"/>
    <col min="29" max="29" width="1.5" style="169" customWidth="1"/>
    <col min="30" max="30" width="13.33203125" style="169" customWidth="1"/>
    <col min="31" max="31" width="2" style="169" customWidth="1"/>
    <col min="32" max="32" width="15.33203125" style="169" customWidth="1"/>
    <col min="33" max="16384" width="9.1640625" style="169"/>
  </cols>
  <sheetData>
    <row r="1" spans="1:32" ht="17.25" customHeight="1">
      <c r="B1" s="293" t="s">
        <v>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P1" s="293" t="s">
        <v>7</v>
      </c>
      <c r="Q1" s="294"/>
      <c r="R1" s="294"/>
      <c r="S1" s="294"/>
      <c r="T1" s="294"/>
      <c r="U1" s="294"/>
      <c r="V1" s="294"/>
      <c r="W1" s="294"/>
      <c r="X1" s="294"/>
      <c r="Y1" s="294"/>
      <c r="Z1" s="294"/>
    </row>
    <row r="2" spans="1:32" ht="12.75" customHeight="1">
      <c r="A2" s="295"/>
      <c r="B2" s="296" t="s">
        <v>19</v>
      </c>
      <c r="C2" s="296" t="s">
        <v>20</v>
      </c>
      <c r="D2" s="296" t="s">
        <v>1</v>
      </c>
      <c r="E2" s="296" t="s">
        <v>11</v>
      </c>
      <c r="F2" s="296" t="s">
        <v>2</v>
      </c>
      <c r="G2" s="296" t="s">
        <v>3</v>
      </c>
      <c r="H2" s="296" t="s">
        <v>22</v>
      </c>
      <c r="I2" s="297" t="s">
        <v>23</v>
      </c>
      <c r="J2" s="297"/>
      <c r="K2" s="297"/>
      <c r="L2" s="296" t="s">
        <v>24</v>
      </c>
      <c r="M2" s="296" t="s">
        <v>31</v>
      </c>
      <c r="N2" s="298" t="s">
        <v>6</v>
      </c>
      <c r="P2" s="292" t="s">
        <v>19</v>
      </c>
      <c r="Q2" s="292" t="s">
        <v>20</v>
      </c>
      <c r="R2" s="292" t="s">
        <v>2</v>
      </c>
      <c r="S2" s="292" t="s">
        <v>3</v>
      </c>
      <c r="T2" s="292" t="s">
        <v>25</v>
      </c>
      <c r="U2" s="170" t="s">
        <v>8</v>
      </c>
      <c r="V2" s="170"/>
      <c r="W2" s="170"/>
      <c r="X2" s="292" t="s">
        <v>26</v>
      </c>
      <c r="Y2" s="292" t="s">
        <v>31</v>
      </c>
      <c r="Z2" s="298" t="s">
        <v>12</v>
      </c>
      <c r="AB2" s="300" t="s">
        <v>13</v>
      </c>
      <c r="AC2" s="199"/>
      <c r="AD2" s="300" t="s">
        <v>178</v>
      </c>
      <c r="AF2" s="302" t="s">
        <v>179</v>
      </c>
    </row>
    <row r="3" spans="1:32" ht="75" customHeight="1">
      <c r="A3" s="295"/>
      <c r="B3" s="296"/>
      <c r="C3" s="296"/>
      <c r="D3" s="296"/>
      <c r="E3" s="296"/>
      <c r="F3" s="296"/>
      <c r="G3" s="296"/>
      <c r="H3" s="296"/>
      <c r="I3" s="171" t="s">
        <v>124</v>
      </c>
      <c r="J3" s="171" t="s">
        <v>5</v>
      </c>
      <c r="K3" s="172" t="s">
        <v>123</v>
      </c>
      <c r="L3" s="296"/>
      <c r="M3" s="296"/>
      <c r="N3" s="299"/>
      <c r="P3" s="292"/>
      <c r="Q3" s="292"/>
      <c r="R3" s="292"/>
      <c r="S3" s="292"/>
      <c r="T3" s="292"/>
      <c r="U3" s="173" t="s">
        <v>4</v>
      </c>
      <c r="V3" s="173" t="s">
        <v>9</v>
      </c>
      <c r="W3" s="173" t="s">
        <v>123</v>
      </c>
      <c r="X3" s="292"/>
      <c r="Y3" s="292"/>
      <c r="Z3" s="299"/>
      <c r="AB3" s="301"/>
      <c r="AC3" s="200"/>
      <c r="AD3" s="301"/>
      <c r="AF3" s="303"/>
    </row>
    <row r="4" spans="1:32">
      <c r="A4" s="219" t="s">
        <v>77</v>
      </c>
      <c r="B4" s="205"/>
      <c r="C4" s="205"/>
      <c r="D4" s="205">
        <v>343200</v>
      </c>
      <c r="E4" s="205"/>
      <c r="F4" s="205"/>
      <c r="G4" s="205"/>
      <c r="H4" s="205"/>
      <c r="I4" s="205"/>
      <c r="J4" s="205"/>
      <c r="K4" s="205"/>
      <c r="L4" s="205"/>
      <c r="M4" s="205"/>
      <c r="N4" s="205">
        <f>SUM(B4:M4)</f>
        <v>343200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>
        <f t="shared" ref="Z4:Z51" si="0">SUM(P4:Y4)</f>
        <v>0</v>
      </c>
      <c r="AA4" s="205"/>
      <c r="AB4" s="205">
        <f>Z4+N4</f>
        <v>343200</v>
      </c>
      <c r="AC4" s="205"/>
      <c r="AD4" s="220">
        <v>138</v>
      </c>
      <c r="AE4" s="220"/>
      <c r="AF4" s="221">
        <f>AB4/AD4</f>
        <v>2486.9565217391305</v>
      </c>
    </row>
    <row r="5" spans="1:32">
      <c r="A5" s="169" t="s">
        <v>78</v>
      </c>
      <c r="B5" s="175">
        <v>98400</v>
      </c>
      <c r="C5" s="175">
        <v>177360</v>
      </c>
      <c r="D5" s="175">
        <v>882879</v>
      </c>
      <c r="E5" s="175"/>
      <c r="F5" s="175"/>
      <c r="G5" s="175">
        <v>5479</v>
      </c>
      <c r="H5" s="175"/>
      <c r="I5" s="175"/>
      <c r="J5" s="175"/>
      <c r="K5" s="175"/>
      <c r="L5" s="175"/>
      <c r="M5" s="175"/>
      <c r="N5" s="205">
        <f t="shared" ref="N5:N51" si="1">SUM(B5:M5)</f>
        <v>1164118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205">
        <f t="shared" si="0"/>
        <v>0</v>
      </c>
      <c r="AA5" s="175"/>
      <c r="AB5" s="207">
        <f t="shared" ref="AB5:AB49" si="2">Z5+N5</f>
        <v>1164118</v>
      </c>
      <c r="AC5" s="175"/>
      <c r="AD5" s="210">
        <v>317</v>
      </c>
      <c r="AF5" s="203">
        <f t="shared" ref="AF5:AF52" si="3">AB5/AD5</f>
        <v>3672.2965299684543</v>
      </c>
    </row>
    <row r="6" spans="1:32">
      <c r="A6" s="220" t="s">
        <v>79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>
        <f t="shared" si="1"/>
        <v>0</v>
      </c>
      <c r="O6" s="205"/>
      <c r="P6" s="205">
        <v>165400</v>
      </c>
      <c r="Q6" s="205">
        <v>391300</v>
      </c>
      <c r="R6" s="205">
        <v>0</v>
      </c>
      <c r="S6" s="205">
        <v>18400</v>
      </c>
      <c r="T6" s="205">
        <v>751500</v>
      </c>
      <c r="U6" s="205">
        <v>260000</v>
      </c>
      <c r="V6" s="205">
        <v>0</v>
      </c>
      <c r="W6" s="205">
        <v>0</v>
      </c>
      <c r="X6" s="205">
        <v>73272</v>
      </c>
      <c r="Y6" s="205">
        <v>335071</v>
      </c>
      <c r="Z6" s="205">
        <f t="shared" si="0"/>
        <v>1994943</v>
      </c>
      <c r="AA6" s="205"/>
      <c r="AB6" s="205">
        <f t="shared" si="2"/>
        <v>1994943</v>
      </c>
      <c r="AC6" s="205"/>
      <c r="AD6" s="222">
        <v>561</v>
      </c>
      <c r="AE6" s="220"/>
      <c r="AF6" s="221">
        <f t="shared" si="3"/>
        <v>3556.0481283422459</v>
      </c>
    </row>
    <row r="7" spans="1:32">
      <c r="A7" s="169" t="s">
        <v>80</v>
      </c>
      <c r="B7" s="175">
        <v>120000</v>
      </c>
      <c r="C7" s="175">
        <v>10000</v>
      </c>
      <c r="D7" s="175">
        <v>775000</v>
      </c>
      <c r="E7" s="175"/>
      <c r="F7" s="175">
        <v>300000</v>
      </c>
      <c r="G7" s="175">
        <v>40000</v>
      </c>
      <c r="H7" s="175"/>
      <c r="I7" s="175"/>
      <c r="J7" s="175"/>
      <c r="K7" s="175"/>
      <c r="L7" s="175"/>
      <c r="M7" s="175"/>
      <c r="N7" s="205">
        <f t="shared" si="1"/>
        <v>1245000</v>
      </c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205">
        <f t="shared" si="0"/>
        <v>0</v>
      </c>
      <c r="AA7" s="175"/>
      <c r="AB7" s="207">
        <f t="shared" si="2"/>
        <v>1245000</v>
      </c>
      <c r="AC7" s="175"/>
      <c r="AD7" s="211">
        <v>353</v>
      </c>
      <c r="AF7" s="203">
        <f t="shared" si="3"/>
        <v>3526.9121813031161</v>
      </c>
    </row>
    <row r="8" spans="1:32">
      <c r="A8" s="220" t="s">
        <v>81</v>
      </c>
      <c r="B8" s="205">
        <v>30923.865099999999</v>
      </c>
      <c r="C8" s="205">
        <v>7500</v>
      </c>
      <c r="D8" s="205">
        <v>209557.01</v>
      </c>
      <c r="E8" s="205"/>
      <c r="F8" s="205"/>
      <c r="G8" s="205">
        <v>13829.449500000001</v>
      </c>
      <c r="H8" s="205">
        <v>50000</v>
      </c>
      <c r="I8" s="205">
        <v>0</v>
      </c>
      <c r="J8" s="205">
        <v>7388.67</v>
      </c>
      <c r="K8" s="205"/>
      <c r="L8" s="205"/>
      <c r="M8" s="205"/>
      <c r="N8" s="205">
        <f t="shared" si="1"/>
        <v>319198.99459999998</v>
      </c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>
        <f t="shared" si="0"/>
        <v>0</v>
      </c>
      <c r="AA8" s="205"/>
      <c r="AB8" s="205">
        <f t="shared" si="2"/>
        <v>319198.99459999998</v>
      </c>
      <c r="AC8" s="205"/>
      <c r="AD8" s="220">
        <v>86</v>
      </c>
      <c r="AE8" s="220"/>
      <c r="AF8" s="221">
        <f t="shared" si="3"/>
        <v>3711.6162162790697</v>
      </c>
    </row>
    <row r="9" spans="1:32">
      <c r="A9" s="169" t="s">
        <v>82</v>
      </c>
      <c r="B9" s="175">
        <v>96264</v>
      </c>
      <c r="C9" s="175">
        <v>46000</v>
      </c>
      <c r="D9" s="175">
        <v>888365</v>
      </c>
      <c r="E9" s="175">
        <v>0</v>
      </c>
      <c r="F9" s="175">
        <v>0</v>
      </c>
      <c r="G9" s="175">
        <v>6308.75</v>
      </c>
      <c r="H9" s="175">
        <v>69637</v>
      </c>
      <c r="I9" s="175"/>
      <c r="J9" s="175"/>
      <c r="K9" s="175"/>
      <c r="L9" s="175"/>
      <c r="M9" s="175"/>
      <c r="N9" s="205">
        <f t="shared" si="1"/>
        <v>1106574.75</v>
      </c>
      <c r="O9" s="175"/>
      <c r="P9" s="175">
        <v>103083</v>
      </c>
      <c r="Q9" s="175">
        <v>90980</v>
      </c>
      <c r="R9" s="175">
        <v>0</v>
      </c>
      <c r="S9" s="175">
        <v>6308.75</v>
      </c>
      <c r="T9" s="175">
        <v>200379</v>
      </c>
      <c r="U9" s="175">
        <v>176842.48</v>
      </c>
      <c r="V9" s="175">
        <v>166274.48000000001</v>
      </c>
      <c r="W9" s="175">
        <v>9584.9599999999991</v>
      </c>
      <c r="X9" s="175">
        <v>0</v>
      </c>
      <c r="Y9" s="175">
        <v>0</v>
      </c>
      <c r="Z9" s="205">
        <f t="shared" si="0"/>
        <v>753452.66999999993</v>
      </c>
      <c r="AA9" s="175"/>
      <c r="AB9" s="207">
        <f t="shared" si="2"/>
        <v>1860027.42</v>
      </c>
      <c r="AC9" s="175"/>
      <c r="AD9" s="210">
        <v>538</v>
      </c>
      <c r="AF9" s="203">
        <f t="shared" si="3"/>
        <v>3457.3000371747212</v>
      </c>
    </row>
    <row r="10" spans="1:32">
      <c r="A10" s="220" t="s">
        <v>83</v>
      </c>
      <c r="B10" s="205"/>
      <c r="C10" s="205"/>
      <c r="D10" s="205">
        <v>3587283</v>
      </c>
      <c r="E10" s="205"/>
      <c r="F10" s="205"/>
      <c r="G10" s="205"/>
      <c r="H10" s="205">
        <v>800000</v>
      </c>
      <c r="I10" s="205"/>
      <c r="J10" s="205"/>
      <c r="K10" s="205"/>
      <c r="L10" s="205">
        <v>1450000</v>
      </c>
      <c r="M10" s="205">
        <v>2200000</v>
      </c>
      <c r="N10" s="205">
        <f t="shared" si="1"/>
        <v>8037283</v>
      </c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>
        <f t="shared" si="0"/>
        <v>0</v>
      </c>
      <c r="AA10" s="205"/>
      <c r="AB10" s="205">
        <f t="shared" si="2"/>
        <v>8037283</v>
      </c>
      <c r="AC10" s="205"/>
      <c r="AD10" s="220">
        <v>1751</v>
      </c>
      <c r="AE10" s="220"/>
      <c r="AF10" s="221">
        <f t="shared" si="3"/>
        <v>4590.1102227298688</v>
      </c>
    </row>
    <row r="11" spans="1:32">
      <c r="A11" s="169" t="s">
        <v>84</v>
      </c>
      <c r="B11" s="175">
        <v>422071</v>
      </c>
      <c r="C11" s="175">
        <v>216885</v>
      </c>
      <c r="D11" s="175">
        <v>1988773</v>
      </c>
      <c r="E11" s="175">
        <v>0</v>
      </c>
      <c r="F11" s="175">
        <v>0</v>
      </c>
      <c r="G11" s="175">
        <v>173833</v>
      </c>
      <c r="H11" s="175">
        <v>916178</v>
      </c>
      <c r="I11" s="175">
        <v>0</v>
      </c>
      <c r="J11" s="175">
        <v>0</v>
      </c>
      <c r="K11" s="175">
        <v>0</v>
      </c>
      <c r="L11" s="175">
        <v>521200</v>
      </c>
      <c r="M11" s="175">
        <v>0</v>
      </c>
      <c r="N11" s="205">
        <f t="shared" si="1"/>
        <v>4238940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205">
        <f t="shared" si="0"/>
        <v>0</v>
      </c>
      <c r="AA11" s="175"/>
      <c r="AB11" s="207">
        <f t="shared" si="2"/>
        <v>4238940</v>
      </c>
      <c r="AC11" s="175"/>
      <c r="AD11" s="210">
        <v>1300</v>
      </c>
      <c r="AF11" s="203">
        <f t="shared" si="3"/>
        <v>3260.7230769230769</v>
      </c>
    </row>
    <row r="12" spans="1:32">
      <c r="A12" s="219" t="s">
        <v>85</v>
      </c>
      <c r="B12" s="205">
        <v>499464</v>
      </c>
      <c r="C12" s="205">
        <v>448253.4</v>
      </c>
      <c r="D12" s="205">
        <v>1064757</v>
      </c>
      <c r="E12" s="205">
        <v>0</v>
      </c>
      <c r="F12" s="205">
        <v>0</v>
      </c>
      <c r="G12" s="205">
        <v>23482.95</v>
      </c>
      <c r="H12" s="205">
        <v>687600</v>
      </c>
      <c r="I12" s="205">
        <v>666365</v>
      </c>
      <c r="J12" s="205">
        <v>343312.0151032838</v>
      </c>
      <c r="K12" s="205">
        <v>0</v>
      </c>
      <c r="L12" s="205">
        <v>81500</v>
      </c>
      <c r="M12" s="205">
        <v>1125000</v>
      </c>
      <c r="N12" s="205">
        <f t="shared" si="1"/>
        <v>4939734.3651032839</v>
      </c>
      <c r="O12" s="205"/>
      <c r="P12" s="205">
        <v>439814</v>
      </c>
      <c r="Q12" s="205">
        <v>312008</v>
      </c>
      <c r="R12" s="205">
        <v>0</v>
      </c>
      <c r="S12" s="205">
        <v>23482.95</v>
      </c>
      <c r="T12" s="205">
        <v>322285</v>
      </c>
      <c r="U12" s="205">
        <v>419097.93975000002</v>
      </c>
      <c r="V12" s="205">
        <v>373313.9848967162</v>
      </c>
      <c r="W12" s="205">
        <v>0</v>
      </c>
      <c r="X12" s="205">
        <v>40750</v>
      </c>
      <c r="Y12" s="205">
        <v>1125000</v>
      </c>
      <c r="Z12" s="205">
        <f t="shared" si="0"/>
        <v>3055751.8746467163</v>
      </c>
      <c r="AA12" s="205"/>
      <c r="AB12" s="205">
        <f t="shared" si="2"/>
        <v>7995486.2397499997</v>
      </c>
      <c r="AC12" s="205"/>
      <c r="AD12" s="220">
        <v>1426</v>
      </c>
      <c r="AE12" s="220"/>
      <c r="AF12" s="221">
        <f t="shared" si="3"/>
        <v>5606.9328469495085</v>
      </c>
    </row>
    <row r="13" spans="1:32">
      <c r="A13" s="169" t="s">
        <v>86</v>
      </c>
      <c r="B13" s="175">
        <v>309421</v>
      </c>
      <c r="C13" s="175">
        <v>292285</v>
      </c>
      <c r="D13" s="175">
        <v>833392</v>
      </c>
      <c r="E13" s="175"/>
      <c r="F13" s="175"/>
      <c r="G13" s="175">
        <v>23733</v>
      </c>
      <c r="H13" s="175">
        <v>823498</v>
      </c>
      <c r="I13" s="175"/>
      <c r="J13" s="175"/>
      <c r="K13" s="175"/>
      <c r="L13" s="175">
        <v>150000</v>
      </c>
      <c r="M13" s="175"/>
      <c r="N13" s="205">
        <f t="shared" si="1"/>
        <v>2432329</v>
      </c>
      <c r="O13" s="175"/>
      <c r="P13" s="175"/>
      <c r="Q13" s="175">
        <v>443449</v>
      </c>
      <c r="R13" s="175">
        <v>159744</v>
      </c>
      <c r="S13" s="175">
        <v>14267</v>
      </c>
      <c r="T13" s="175">
        <v>920577</v>
      </c>
      <c r="U13" s="175">
        <v>1271058</v>
      </c>
      <c r="V13" s="175">
        <v>1697182</v>
      </c>
      <c r="W13" s="175">
        <v>139245</v>
      </c>
      <c r="X13" s="175">
        <v>150000</v>
      </c>
      <c r="Y13" s="175">
        <v>1500000</v>
      </c>
      <c r="Z13" s="205">
        <f t="shared" si="0"/>
        <v>6295522</v>
      </c>
      <c r="AA13" s="175"/>
      <c r="AB13" s="207">
        <f t="shared" si="2"/>
        <v>8727851</v>
      </c>
      <c r="AC13" s="175"/>
      <c r="AD13" s="210">
        <v>1794</v>
      </c>
      <c r="AF13" s="203">
        <f t="shared" si="3"/>
        <v>4865.0228539576365</v>
      </c>
    </row>
    <row r="14" spans="1:32">
      <c r="A14" s="220" t="s">
        <v>87</v>
      </c>
      <c r="B14" s="205">
        <v>13977</v>
      </c>
      <c r="C14" s="205">
        <v>35107</v>
      </c>
      <c r="D14" s="205">
        <v>949741.92</v>
      </c>
      <c r="E14" s="205"/>
      <c r="F14" s="205">
        <v>49050</v>
      </c>
      <c r="G14" s="205">
        <v>24981</v>
      </c>
      <c r="H14" s="205">
        <v>70648</v>
      </c>
      <c r="I14" s="205"/>
      <c r="J14" s="205"/>
      <c r="K14" s="205"/>
      <c r="L14" s="205">
        <v>75000</v>
      </c>
      <c r="M14" s="205"/>
      <c r="N14" s="205">
        <f t="shared" si="1"/>
        <v>1218504.92</v>
      </c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>
        <f t="shared" si="0"/>
        <v>0</v>
      </c>
      <c r="AA14" s="205"/>
      <c r="AB14" s="205">
        <f t="shared" si="2"/>
        <v>1218504.92</v>
      </c>
      <c r="AC14" s="205"/>
      <c r="AD14" s="222">
        <v>366</v>
      </c>
      <c r="AE14" s="220"/>
      <c r="AF14" s="221">
        <f t="shared" si="3"/>
        <v>3329.2484153005462</v>
      </c>
    </row>
    <row r="15" spans="1:32">
      <c r="A15" s="169" t="s">
        <v>88</v>
      </c>
      <c r="B15" s="175">
        <v>0</v>
      </c>
      <c r="C15" s="175">
        <v>2000</v>
      </c>
      <c r="D15" s="175">
        <v>634680</v>
      </c>
      <c r="E15" s="175">
        <v>0</v>
      </c>
      <c r="F15" s="175">
        <v>0</v>
      </c>
      <c r="G15" s="175">
        <v>0</v>
      </c>
      <c r="H15" s="175">
        <v>12862</v>
      </c>
      <c r="I15" s="175"/>
      <c r="J15" s="175"/>
      <c r="K15" s="175"/>
      <c r="L15" s="175"/>
      <c r="M15" s="175"/>
      <c r="N15" s="205">
        <f t="shared" si="1"/>
        <v>649542</v>
      </c>
      <c r="O15" s="175"/>
      <c r="P15" s="175">
        <v>240000</v>
      </c>
      <c r="Q15" s="175">
        <v>393198</v>
      </c>
      <c r="R15" s="175">
        <v>0</v>
      </c>
      <c r="S15" s="175">
        <v>19343</v>
      </c>
      <c r="T15" s="175">
        <v>504782</v>
      </c>
      <c r="U15" s="175">
        <v>388384.12110455276</v>
      </c>
      <c r="V15" s="175">
        <v>419972.16000000003</v>
      </c>
      <c r="W15" s="175">
        <v>273624.41000000003</v>
      </c>
      <c r="X15" s="175">
        <v>0</v>
      </c>
      <c r="Y15" s="175">
        <v>0</v>
      </c>
      <c r="Z15" s="205">
        <f t="shared" si="0"/>
        <v>2239303.6911045532</v>
      </c>
      <c r="AA15" s="175"/>
      <c r="AB15" s="207">
        <f t="shared" si="2"/>
        <v>2888845.6911045532</v>
      </c>
      <c r="AC15" s="175"/>
      <c r="AD15" s="211">
        <v>909</v>
      </c>
      <c r="AF15" s="203">
        <f t="shared" si="3"/>
        <v>3178.0480650215109</v>
      </c>
    </row>
    <row r="16" spans="1:32">
      <c r="A16" s="220" t="s">
        <v>89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>
        <f t="shared" si="1"/>
        <v>0</v>
      </c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>
        <f t="shared" si="0"/>
        <v>0</v>
      </c>
      <c r="AA16" s="205"/>
      <c r="AB16" s="205">
        <f t="shared" si="2"/>
        <v>0</v>
      </c>
      <c r="AC16" s="205"/>
      <c r="AD16" s="220">
        <v>0</v>
      </c>
      <c r="AE16" s="220"/>
      <c r="AF16" s="221" t="s">
        <v>45</v>
      </c>
    </row>
    <row r="17" spans="1:32">
      <c r="A17" s="169" t="s">
        <v>90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205">
        <f t="shared" si="1"/>
        <v>0</v>
      </c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205">
        <f t="shared" si="0"/>
        <v>0</v>
      </c>
      <c r="AA17" s="175"/>
      <c r="AB17" s="207">
        <f t="shared" si="2"/>
        <v>0</v>
      </c>
      <c r="AC17" s="175"/>
      <c r="AD17" s="210">
        <v>0</v>
      </c>
      <c r="AF17" s="203" t="s">
        <v>45</v>
      </c>
    </row>
    <row r="18" spans="1:32">
      <c r="A18" s="220" t="s">
        <v>91</v>
      </c>
      <c r="B18" s="205">
        <v>39008.595999999998</v>
      </c>
      <c r="C18" s="205">
        <v>131163.12</v>
      </c>
      <c r="D18" s="205">
        <v>1229611.3940000001</v>
      </c>
      <c r="E18" s="205">
        <v>404523.24000000005</v>
      </c>
      <c r="F18" s="205">
        <v>367605.7</v>
      </c>
      <c r="G18" s="205"/>
      <c r="H18" s="205"/>
      <c r="I18" s="205"/>
      <c r="J18" s="205"/>
      <c r="K18" s="205"/>
      <c r="L18" s="205"/>
      <c r="M18" s="205"/>
      <c r="N18" s="205">
        <f t="shared" si="1"/>
        <v>2171912.0500000003</v>
      </c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>
        <f t="shared" si="0"/>
        <v>0</v>
      </c>
      <c r="AA18" s="205"/>
      <c r="AB18" s="205">
        <f t="shared" si="2"/>
        <v>2171912.0500000003</v>
      </c>
      <c r="AC18" s="205"/>
      <c r="AD18" s="220">
        <v>522</v>
      </c>
      <c r="AE18" s="220"/>
      <c r="AF18" s="221">
        <f t="shared" si="3"/>
        <v>4160.7510536398477</v>
      </c>
    </row>
    <row r="19" spans="1:32">
      <c r="A19" s="169" t="s">
        <v>92</v>
      </c>
      <c r="B19" s="175">
        <v>19689</v>
      </c>
      <c r="C19" s="175">
        <v>56304</v>
      </c>
      <c r="D19" s="175">
        <v>262009</v>
      </c>
      <c r="E19" s="175"/>
      <c r="F19" s="175"/>
      <c r="G19" s="175"/>
      <c r="H19" s="175"/>
      <c r="I19" s="175"/>
      <c r="J19" s="175"/>
      <c r="K19" s="175"/>
      <c r="L19" s="175"/>
      <c r="M19" s="175"/>
      <c r="N19" s="205">
        <f t="shared" si="1"/>
        <v>338002</v>
      </c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205">
        <f t="shared" si="0"/>
        <v>0</v>
      </c>
      <c r="AA19" s="175"/>
      <c r="AB19" s="207">
        <f t="shared" si="2"/>
        <v>338002</v>
      </c>
      <c r="AC19" s="175"/>
      <c r="AD19" s="210">
        <v>227</v>
      </c>
      <c r="AF19" s="203">
        <f t="shared" si="3"/>
        <v>1488.9955947136564</v>
      </c>
    </row>
    <row r="20" spans="1:32">
      <c r="A20" s="219" t="s">
        <v>93</v>
      </c>
      <c r="B20" s="205"/>
      <c r="C20" s="205">
        <v>23721</v>
      </c>
      <c r="D20" s="205">
        <v>206228</v>
      </c>
      <c r="E20" s="205"/>
      <c r="F20" s="205"/>
      <c r="G20" s="205">
        <v>5517</v>
      </c>
      <c r="H20" s="205">
        <v>44780</v>
      </c>
      <c r="I20" s="205"/>
      <c r="J20" s="205"/>
      <c r="K20" s="205"/>
      <c r="L20" s="205"/>
      <c r="M20" s="205"/>
      <c r="N20" s="205">
        <f t="shared" si="1"/>
        <v>280246</v>
      </c>
      <c r="O20" s="205"/>
      <c r="P20" s="205"/>
      <c r="Q20" s="205"/>
      <c r="R20" s="205"/>
      <c r="S20" s="205"/>
      <c r="T20" s="205"/>
      <c r="U20" s="205"/>
      <c r="V20" s="205"/>
      <c r="W20" s="205"/>
      <c r="X20" s="205">
        <v>24500</v>
      </c>
      <c r="Y20" s="205"/>
      <c r="Z20" s="205">
        <f t="shared" si="0"/>
        <v>24500</v>
      </c>
      <c r="AA20" s="205"/>
      <c r="AB20" s="205">
        <f t="shared" si="2"/>
        <v>304746</v>
      </c>
      <c r="AC20" s="205"/>
      <c r="AD20" s="220">
        <v>239</v>
      </c>
      <c r="AE20" s="220"/>
      <c r="AF20" s="221">
        <f t="shared" si="3"/>
        <v>1275.0878661087866</v>
      </c>
    </row>
    <row r="21" spans="1:32">
      <c r="A21" s="169" t="s">
        <v>94</v>
      </c>
      <c r="B21" s="175"/>
      <c r="C21" s="175">
        <v>11544</v>
      </c>
      <c r="D21" s="175">
        <v>880200</v>
      </c>
      <c r="E21" s="175"/>
      <c r="F21" s="175"/>
      <c r="G21" s="175">
        <v>1841</v>
      </c>
      <c r="H21" s="175"/>
      <c r="I21" s="175"/>
      <c r="J21" s="175"/>
      <c r="K21" s="175"/>
      <c r="L21" s="175"/>
      <c r="M21" s="175"/>
      <c r="N21" s="205">
        <f t="shared" si="1"/>
        <v>893585</v>
      </c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205">
        <f t="shared" si="0"/>
        <v>0</v>
      </c>
      <c r="AA21" s="175"/>
      <c r="AB21" s="207">
        <f t="shared" si="2"/>
        <v>893585</v>
      </c>
      <c r="AC21" s="175"/>
      <c r="AD21" s="210">
        <v>328</v>
      </c>
      <c r="AF21" s="203">
        <f t="shared" si="3"/>
        <v>2724.3445121951218</v>
      </c>
    </row>
    <row r="22" spans="1:32">
      <c r="A22" s="220" t="s">
        <v>95</v>
      </c>
      <c r="B22" s="205">
        <v>780650</v>
      </c>
      <c r="C22" s="205">
        <v>1682865</v>
      </c>
      <c r="D22" s="205">
        <v>1455343</v>
      </c>
      <c r="E22" s="205">
        <v>60560</v>
      </c>
      <c r="F22" s="205">
        <v>434886</v>
      </c>
      <c r="G22" s="205">
        <v>55885</v>
      </c>
      <c r="H22" s="205">
        <v>1526386</v>
      </c>
      <c r="I22" s="205">
        <v>698900</v>
      </c>
      <c r="J22" s="205">
        <v>320000</v>
      </c>
      <c r="K22" s="205">
        <v>32192</v>
      </c>
      <c r="L22" s="205">
        <v>0</v>
      </c>
      <c r="M22" s="205">
        <v>1380692</v>
      </c>
      <c r="N22" s="205">
        <f t="shared" si="1"/>
        <v>8428359</v>
      </c>
      <c r="O22" s="205"/>
      <c r="P22" s="205">
        <v>736876</v>
      </c>
      <c r="Q22" s="205">
        <v>2021388</v>
      </c>
      <c r="R22" s="205">
        <v>8085</v>
      </c>
      <c r="S22" s="205">
        <v>76955</v>
      </c>
      <c r="T22" s="205">
        <v>1900000</v>
      </c>
      <c r="U22" s="205">
        <v>2390025</v>
      </c>
      <c r="V22" s="205">
        <v>1049743</v>
      </c>
      <c r="W22" s="205">
        <v>126408</v>
      </c>
      <c r="X22" s="205">
        <v>1427378</v>
      </c>
      <c r="Y22" s="205">
        <v>1581651</v>
      </c>
      <c r="Z22" s="205">
        <f t="shared" si="0"/>
        <v>11318509</v>
      </c>
      <c r="AA22" s="205"/>
      <c r="AB22" s="205">
        <f t="shared" si="2"/>
        <v>19746868</v>
      </c>
      <c r="AC22" s="205"/>
      <c r="AD22" s="222">
        <v>3979</v>
      </c>
      <c r="AE22" s="220"/>
      <c r="AF22" s="221">
        <f t="shared" si="3"/>
        <v>4962.7715506408649</v>
      </c>
    </row>
    <row r="23" spans="1:32">
      <c r="A23" s="169" t="s">
        <v>96</v>
      </c>
      <c r="B23" s="175">
        <v>183825</v>
      </c>
      <c r="C23" s="175">
        <v>136822</v>
      </c>
      <c r="D23" s="175">
        <v>2617452</v>
      </c>
      <c r="E23" s="175" t="s">
        <v>153</v>
      </c>
      <c r="F23" s="175" t="s">
        <v>153</v>
      </c>
      <c r="G23" s="175">
        <v>53475</v>
      </c>
      <c r="H23" s="175"/>
      <c r="I23" s="175">
        <v>48000</v>
      </c>
      <c r="J23" s="175">
        <v>12000</v>
      </c>
      <c r="K23" s="175" t="s">
        <v>153</v>
      </c>
      <c r="L23" s="175" t="s">
        <v>153</v>
      </c>
      <c r="M23" s="175"/>
      <c r="N23" s="205">
        <f t="shared" si="1"/>
        <v>3051574</v>
      </c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205">
        <f t="shared" si="0"/>
        <v>0</v>
      </c>
      <c r="AA23" s="175"/>
      <c r="AB23" s="207">
        <f t="shared" si="2"/>
        <v>3051574</v>
      </c>
      <c r="AC23" s="175"/>
      <c r="AD23" s="211">
        <v>778</v>
      </c>
      <c r="AF23" s="203">
        <f t="shared" si="3"/>
        <v>3922.3316195372749</v>
      </c>
    </row>
    <row r="24" spans="1:32">
      <c r="A24" s="220" t="s">
        <v>97</v>
      </c>
      <c r="B24" s="205">
        <v>0</v>
      </c>
      <c r="C24" s="205">
        <v>154426.4</v>
      </c>
      <c r="D24" s="205">
        <v>0</v>
      </c>
      <c r="E24" s="205">
        <v>0</v>
      </c>
      <c r="F24" s="205">
        <v>0</v>
      </c>
      <c r="G24" s="205">
        <v>0</v>
      </c>
      <c r="H24" s="205">
        <v>345852.5</v>
      </c>
      <c r="I24" s="205">
        <v>0</v>
      </c>
      <c r="J24" s="205">
        <v>0</v>
      </c>
      <c r="K24" s="205">
        <v>0</v>
      </c>
      <c r="L24" s="205">
        <v>25000</v>
      </c>
      <c r="M24" s="205">
        <v>0</v>
      </c>
      <c r="N24" s="205">
        <f t="shared" si="1"/>
        <v>525278.9</v>
      </c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>
        <f t="shared" si="0"/>
        <v>0</v>
      </c>
      <c r="AA24" s="205"/>
      <c r="AB24" s="205">
        <f t="shared" si="2"/>
        <v>525278.9</v>
      </c>
      <c r="AC24" s="205"/>
      <c r="AD24" s="220">
        <v>154</v>
      </c>
      <c r="AE24" s="220"/>
      <c r="AF24" s="221">
        <f t="shared" si="3"/>
        <v>3410.9019480519482</v>
      </c>
    </row>
    <row r="25" spans="1:32">
      <c r="A25" s="169" t="s">
        <v>98</v>
      </c>
      <c r="B25" s="175">
        <v>45000</v>
      </c>
      <c r="C25" s="175">
        <v>30000</v>
      </c>
      <c r="D25" s="175">
        <v>266173</v>
      </c>
      <c r="E25" s="175"/>
      <c r="F25" s="175"/>
      <c r="G25" s="175">
        <v>8918</v>
      </c>
      <c r="H25" s="175"/>
      <c r="I25" s="175"/>
      <c r="J25" s="175"/>
      <c r="K25" s="175"/>
      <c r="L25" s="175"/>
      <c r="M25" s="175"/>
      <c r="N25" s="205">
        <f t="shared" si="1"/>
        <v>350091</v>
      </c>
      <c r="O25" s="175"/>
      <c r="P25" s="175">
        <v>194500</v>
      </c>
      <c r="Q25" s="175">
        <v>392020</v>
      </c>
      <c r="R25" s="175"/>
      <c r="S25" s="175">
        <v>26042</v>
      </c>
      <c r="T25" s="175">
        <v>195000</v>
      </c>
      <c r="U25" s="175">
        <v>369451</v>
      </c>
      <c r="V25" s="175">
        <v>327838</v>
      </c>
      <c r="W25" s="175">
        <v>32590</v>
      </c>
      <c r="X25" s="175">
        <v>55000</v>
      </c>
      <c r="Y25" s="175"/>
      <c r="Z25" s="205">
        <f t="shared" si="0"/>
        <v>1592441</v>
      </c>
      <c r="AA25" s="175"/>
      <c r="AB25" s="207">
        <f t="shared" si="2"/>
        <v>1942532</v>
      </c>
      <c r="AC25" s="175"/>
      <c r="AD25" s="210">
        <v>798</v>
      </c>
      <c r="AF25" s="203">
        <f t="shared" si="3"/>
        <v>2434.250626566416</v>
      </c>
    </row>
    <row r="26" spans="1:32">
      <c r="A26" s="220" t="s">
        <v>99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>
        <f t="shared" si="1"/>
        <v>0</v>
      </c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>
        <f t="shared" si="0"/>
        <v>0</v>
      </c>
      <c r="AA26" s="205"/>
      <c r="AB26" s="205">
        <f t="shared" si="2"/>
        <v>0</v>
      </c>
      <c r="AC26" s="205"/>
      <c r="AD26" s="220">
        <v>0</v>
      </c>
      <c r="AE26" s="220"/>
      <c r="AF26" s="221" t="s">
        <v>45</v>
      </c>
    </row>
    <row r="27" spans="1:32">
      <c r="A27" s="169" t="s">
        <v>100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205">
        <f t="shared" si="1"/>
        <v>0</v>
      </c>
      <c r="O27" s="175"/>
      <c r="P27" s="175">
        <v>202000</v>
      </c>
      <c r="Q27" s="175">
        <v>303000</v>
      </c>
      <c r="R27" s="175">
        <v>3200</v>
      </c>
      <c r="S27" s="175">
        <v>125000</v>
      </c>
      <c r="T27" s="175">
        <v>750000</v>
      </c>
      <c r="U27" s="175">
        <v>144000</v>
      </c>
      <c r="V27" s="175">
        <v>110000</v>
      </c>
      <c r="W27" s="175">
        <v>220000</v>
      </c>
      <c r="X27" s="175">
        <v>75000</v>
      </c>
      <c r="Y27" s="175">
        <v>200000</v>
      </c>
      <c r="Z27" s="205">
        <f t="shared" si="0"/>
        <v>2132200</v>
      </c>
      <c r="AA27" s="175"/>
      <c r="AB27" s="207">
        <f t="shared" si="2"/>
        <v>2132200</v>
      </c>
      <c r="AC27" s="175"/>
      <c r="AD27" s="211">
        <v>389</v>
      </c>
      <c r="AF27" s="203">
        <f t="shared" si="3"/>
        <v>5481.2339331619542</v>
      </c>
    </row>
    <row r="28" spans="1:32">
      <c r="A28" s="219" t="s">
        <v>101</v>
      </c>
      <c r="B28" s="205">
        <v>44844</v>
      </c>
      <c r="C28" s="205"/>
      <c r="D28" s="205">
        <v>154548</v>
      </c>
      <c r="E28" s="205"/>
      <c r="F28" s="205"/>
      <c r="G28" s="205"/>
      <c r="H28" s="205"/>
      <c r="I28" s="205"/>
      <c r="J28" s="205"/>
      <c r="K28" s="205"/>
      <c r="L28" s="205"/>
      <c r="M28" s="205"/>
      <c r="N28" s="205">
        <f t="shared" si="1"/>
        <v>199392</v>
      </c>
      <c r="O28" s="205"/>
      <c r="P28" s="205">
        <v>169988</v>
      </c>
      <c r="Q28" s="205">
        <v>42114</v>
      </c>
      <c r="R28" s="205">
        <v>0</v>
      </c>
      <c r="S28" s="205">
        <v>90909</v>
      </c>
      <c r="T28" s="205">
        <v>404159</v>
      </c>
      <c r="U28" s="205">
        <v>464444</v>
      </c>
      <c r="V28" s="205">
        <v>2240348</v>
      </c>
      <c r="W28" s="205"/>
      <c r="X28" s="205">
        <v>20000</v>
      </c>
      <c r="Y28" s="205"/>
      <c r="Z28" s="205">
        <f t="shared" si="0"/>
        <v>3431962</v>
      </c>
      <c r="AA28" s="205"/>
      <c r="AB28" s="205">
        <f t="shared" si="2"/>
        <v>3631354</v>
      </c>
      <c r="AC28" s="205"/>
      <c r="AD28" s="220">
        <v>406</v>
      </c>
      <c r="AE28" s="220"/>
      <c r="AF28" s="221">
        <f t="shared" si="3"/>
        <v>8944.2216748768478</v>
      </c>
    </row>
    <row r="29" spans="1:32">
      <c r="A29" s="169" t="s">
        <v>102</v>
      </c>
      <c r="B29" s="175">
        <v>174125</v>
      </c>
      <c r="C29" s="175">
        <v>197700</v>
      </c>
      <c r="D29" s="175">
        <v>947692</v>
      </c>
      <c r="E29" s="175"/>
      <c r="F29" s="175"/>
      <c r="G29" s="175"/>
      <c r="H29" s="175"/>
      <c r="I29" s="175"/>
      <c r="J29" s="175"/>
      <c r="K29" s="175"/>
      <c r="L29" s="175"/>
      <c r="M29" s="175"/>
      <c r="N29" s="205">
        <f t="shared" si="1"/>
        <v>1319517</v>
      </c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205">
        <f t="shared" si="0"/>
        <v>0</v>
      </c>
      <c r="AA29" s="175"/>
      <c r="AB29" s="207">
        <f t="shared" si="2"/>
        <v>1319517</v>
      </c>
      <c r="AC29" s="175"/>
      <c r="AD29" s="210">
        <v>489</v>
      </c>
      <c r="AF29" s="203">
        <f t="shared" si="3"/>
        <v>2698.3987730061349</v>
      </c>
    </row>
    <row r="30" spans="1:32">
      <c r="A30" s="220" t="s">
        <v>103</v>
      </c>
      <c r="B30" s="205">
        <v>728640</v>
      </c>
      <c r="C30" s="205">
        <v>273240</v>
      </c>
      <c r="D30" s="205">
        <v>1663909</v>
      </c>
      <c r="E30" s="205">
        <v>0</v>
      </c>
      <c r="F30" s="205">
        <v>0</v>
      </c>
      <c r="G30" s="205">
        <v>90000</v>
      </c>
      <c r="H30" s="205">
        <v>887505</v>
      </c>
      <c r="I30" s="205">
        <v>1277572</v>
      </c>
      <c r="J30" s="205">
        <v>0</v>
      </c>
      <c r="K30" s="205">
        <v>83375</v>
      </c>
      <c r="L30" s="205">
        <v>1727700</v>
      </c>
      <c r="M30" s="205"/>
      <c r="N30" s="205">
        <f t="shared" si="1"/>
        <v>6731941</v>
      </c>
      <c r="O30" s="205"/>
      <c r="P30" s="205">
        <v>270979</v>
      </c>
      <c r="Q30" s="205">
        <v>101617</v>
      </c>
      <c r="R30" s="205">
        <v>14000</v>
      </c>
      <c r="S30" s="205">
        <v>26000</v>
      </c>
      <c r="T30" s="205">
        <v>836289</v>
      </c>
      <c r="U30" s="205">
        <v>1156356</v>
      </c>
      <c r="V30" s="205">
        <v>441175</v>
      </c>
      <c r="W30" s="205">
        <v>371952</v>
      </c>
      <c r="X30" s="205">
        <v>169362</v>
      </c>
      <c r="Y30" s="205"/>
      <c r="Z30" s="205">
        <f t="shared" si="0"/>
        <v>3387730</v>
      </c>
      <c r="AA30" s="205"/>
      <c r="AB30" s="205">
        <f t="shared" si="2"/>
        <v>10119671</v>
      </c>
      <c r="AC30" s="205"/>
      <c r="AD30" s="222">
        <v>2069</v>
      </c>
      <c r="AE30" s="220"/>
      <c r="AF30" s="221">
        <f t="shared" si="3"/>
        <v>4891.0927984533591</v>
      </c>
    </row>
    <row r="31" spans="1:32">
      <c r="A31" s="169" t="s">
        <v>154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205">
        <f t="shared" si="1"/>
        <v>0</v>
      </c>
      <c r="O31" s="175"/>
      <c r="P31" s="175">
        <v>82800</v>
      </c>
      <c r="Q31" s="175">
        <v>169300</v>
      </c>
      <c r="R31" s="175"/>
      <c r="S31" s="175">
        <v>17685</v>
      </c>
      <c r="T31" s="175">
        <v>261776</v>
      </c>
      <c r="U31" s="175">
        <v>416488</v>
      </c>
      <c r="V31" s="175">
        <v>175500</v>
      </c>
      <c r="W31" s="175">
        <v>37812</v>
      </c>
      <c r="X31" s="175"/>
      <c r="Y31" s="175"/>
      <c r="Z31" s="205">
        <f t="shared" si="0"/>
        <v>1161361</v>
      </c>
      <c r="AA31" s="175"/>
      <c r="AB31" s="207">
        <f t="shared" si="2"/>
        <v>1161361</v>
      </c>
      <c r="AC31" s="175"/>
      <c r="AD31" s="211">
        <v>199</v>
      </c>
      <c r="AF31" s="203">
        <f t="shared" si="3"/>
        <v>5835.9849246231151</v>
      </c>
    </row>
    <row r="32" spans="1:32">
      <c r="A32" s="220" t="s">
        <v>104</v>
      </c>
      <c r="B32" s="205">
        <v>36963</v>
      </c>
      <c r="C32" s="205">
        <v>65000</v>
      </c>
      <c r="D32" s="205">
        <v>162420</v>
      </c>
      <c r="E32" s="205"/>
      <c r="F32" s="205"/>
      <c r="G32" s="205">
        <v>15000</v>
      </c>
      <c r="H32" s="205"/>
      <c r="I32" s="205"/>
      <c r="J32" s="205"/>
      <c r="K32" s="205"/>
      <c r="L32" s="205"/>
      <c r="M32" s="205"/>
      <c r="N32" s="205">
        <f t="shared" si="1"/>
        <v>279383</v>
      </c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>
        <f t="shared" si="0"/>
        <v>0</v>
      </c>
      <c r="AA32" s="205"/>
      <c r="AB32" s="205">
        <f t="shared" si="2"/>
        <v>279383</v>
      </c>
      <c r="AC32" s="205"/>
      <c r="AD32" s="220">
        <v>283</v>
      </c>
      <c r="AE32" s="220"/>
      <c r="AF32" s="221">
        <f t="shared" si="3"/>
        <v>987.21908127208485</v>
      </c>
    </row>
    <row r="33" spans="1:32">
      <c r="A33" s="169" t="s">
        <v>125</v>
      </c>
      <c r="B33" s="175">
        <v>692708</v>
      </c>
      <c r="C33" s="175">
        <v>72956</v>
      </c>
      <c r="D33" s="175">
        <v>421869</v>
      </c>
      <c r="E33" s="175"/>
      <c r="F33" s="175"/>
      <c r="G33" s="175">
        <v>2000</v>
      </c>
      <c r="H33" s="175">
        <v>32000</v>
      </c>
      <c r="I33" s="175"/>
      <c r="J33" s="175"/>
      <c r="K33" s="175"/>
      <c r="L33" s="175">
        <v>75000</v>
      </c>
      <c r="M33" s="175"/>
      <c r="N33" s="205">
        <f t="shared" si="1"/>
        <v>1296533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205">
        <f t="shared" si="0"/>
        <v>0</v>
      </c>
      <c r="AA33" s="175"/>
      <c r="AB33" s="207">
        <f t="shared" si="2"/>
        <v>1296533</v>
      </c>
      <c r="AC33" s="175"/>
      <c r="AD33" s="210">
        <v>624</v>
      </c>
      <c r="AF33" s="203">
        <f t="shared" si="3"/>
        <v>2077.7772435897436</v>
      </c>
    </row>
    <row r="34" spans="1:32">
      <c r="A34" s="220" t="s">
        <v>105</v>
      </c>
      <c r="B34" s="205">
        <v>120000</v>
      </c>
      <c r="C34" s="205">
        <v>130500</v>
      </c>
      <c r="D34" s="205">
        <v>740652</v>
      </c>
      <c r="E34" s="205">
        <v>102657</v>
      </c>
      <c r="F34" s="205">
        <v>139891</v>
      </c>
      <c r="G34" s="205"/>
      <c r="H34" s="205"/>
      <c r="I34" s="205"/>
      <c r="J34" s="205"/>
      <c r="K34" s="205"/>
      <c r="L34" s="205"/>
      <c r="M34" s="205"/>
      <c r="N34" s="205">
        <f t="shared" si="1"/>
        <v>1233700</v>
      </c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>
        <f t="shared" si="0"/>
        <v>0</v>
      </c>
      <c r="AA34" s="205"/>
      <c r="AB34" s="205">
        <f t="shared" si="2"/>
        <v>1233700</v>
      </c>
      <c r="AC34" s="205"/>
      <c r="AD34" s="220">
        <v>522</v>
      </c>
      <c r="AE34" s="220"/>
      <c r="AF34" s="221">
        <f t="shared" si="3"/>
        <v>2363.4099616858239</v>
      </c>
    </row>
    <row r="35" spans="1:32">
      <c r="A35" s="169" t="s">
        <v>106</v>
      </c>
      <c r="B35" s="175"/>
      <c r="C35" s="175">
        <v>1000</v>
      </c>
      <c r="D35" s="175">
        <v>380800</v>
      </c>
      <c r="E35" s="175"/>
      <c r="F35" s="175"/>
      <c r="G35" s="175"/>
      <c r="H35" s="175"/>
      <c r="I35" s="175"/>
      <c r="J35" s="175"/>
      <c r="K35" s="175"/>
      <c r="L35" s="175"/>
      <c r="M35" s="175"/>
      <c r="N35" s="205">
        <f t="shared" si="1"/>
        <v>381800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205">
        <f t="shared" si="0"/>
        <v>0</v>
      </c>
      <c r="AA35" s="175"/>
      <c r="AB35" s="207">
        <f t="shared" si="2"/>
        <v>381800</v>
      </c>
      <c r="AC35" s="175"/>
      <c r="AD35" s="211">
        <v>167</v>
      </c>
      <c r="AF35" s="203">
        <f t="shared" si="3"/>
        <v>2286.2275449101799</v>
      </c>
    </row>
    <row r="36" spans="1:32">
      <c r="A36" s="219" t="s">
        <v>107</v>
      </c>
      <c r="B36" s="205" t="s">
        <v>35</v>
      </c>
      <c r="C36" s="205">
        <v>25000</v>
      </c>
      <c r="D36" s="205">
        <v>148248</v>
      </c>
      <c r="E36" s="205"/>
      <c r="F36" s="205"/>
      <c r="G36" s="205"/>
      <c r="H36" s="205"/>
      <c r="I36" s="205"/>
      <c r="J36" s="205"/>
      <c r="K36" s="205"/>
      <c r="L36" s="205">
        <v>82732</v>
      </c>
      <c r="M36" s="205" t="s">
        <v>35</v>
      </c>
      <c r="N36" s="205">
        <f t="shared" si="1"/>
        <v>255980</v>
      </c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>
        <f t="shared" si="0"/>
        <v>0</v>
      </c>
      <c r="AA36" s="205"/>
      <c r="AB36" s="205">
        <f t="shared" si="2"/>
        <v>255980</v>
      </c>
      <c r="AC36" s="205"/>
      <c r="AD36" s="220">
        <v>138</v>
      </c>
      <c r="AE36" s="220"/>
      <c r="AF36" s="221">
        <f t="shared" si="3"/>
        <v>1854.927536231884</v>
      </c>
    </row>
    <row r="37" spans="1:32">
      <c r="A37" s="169" t="s">
        <v>108</v>
      </c>
      <c r="B37" s="175"/>
      <c r="C37" s="175"/>
      <c r="D37" s="175">
        <v>110000</v>
      </c>
      <c r="E37" s="175"/>
      <c r="F37" s="175"/>
      <c r="G37" s="175"/>
      <c r="H37" s="175"/>
      <c r="I37" s="175"/>
      <c r="J37" s="175"/>
      <c r="K37" s="175"/>
      <c r="L37" s="175"/>
      <c r="M37" s="175"/>
      <c r="N37" s="205">
        <f t="shared" si="1"/>
        <v>110000</v>
      </c>
      <c r="O37" s="175"/>
      <c r="P37" s="175">
        <v>150000</v>
      </c>
      <c r="Q37" s="175">
        <v>190000</v>
      </c>
      <c r="R37" s="175"/>
      <c r="S37" s="175">
        <v>80000</v>
      </c>
      <c r="T37" s="175">
        <v>550000</v>
      </c>
      <c r="U37" s="175">
        <v>345000</v>
      </c>
      <c r="V37" s="175"/>
      <c r="W37" s="175"/>
      <c r="X37" s="175"/>
      <c r="Y37" s="175"/>
      <c r="Z37" s="205">
        <f t="shared" si="0"/>
        <v>1315000</v>
      </c>
      <c r="AA37" s="175"/>
      <c r="AB37" s="207">
        <f t="shared" si="2"/>
        <v>1425000</v>
      </c>
      <c r="AC37" s="175"/>
      <c r="AD37" s="210">
        <v>373</v>
      </c>
      <c r="AF37" s="203">
        <f t="shared" si="3"/>
        <v>3820.3753351206433</v>
      </c>
    </row>
    <row r="38" spans="1:32">
      <c r="A38" s="220" t="s">
        <v>109</v>
      </c>
      <c r="B38" s="205">
        <v>265000</v>
      </c>
      <c r="C38" s="205">
        <v>538300</v>
      </c>
      <c r="D38" s="205">
        <v>503070</v>
      </c>
      <c r="E38" s="205"/>
      <c r="F38" s="205"/>
      <c r="G38" s="205"/>
      <c r="H38" s="205"/>
      <c r="I38" s="205"/>
      <c r="J38" s="205"/>
      <c r="K38" s="205"/>
      <c r="L38" s="205">
        <v>713876</v>
      </c>
      <c r="M38" s="205" t="s">
        <v>35</v>
      </c>
      <c r="N38" s="205">
        <f t="shared" si="1"/>
        <v>2020246</v>
      </c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>
        <f t="shared" si="0"/>
        <v>0</v>
      </c>
      <c r="AA38" s="205"/>
      <c r="AB38" s="205">
        <f t="shared" si="2"/>
        <v>2020246</v>
      </c>
      <c r="AC38" s="205"/>
      <c r="AD38" s="222">
        <v>559</v>
      </c>
      <c r="AE38" s="220"/>
      <c r="AF38" s="221">
        <f t="shared" si="3"/>
        <v>3614.0357781753132</v>
      </c>
    </row>
    <row r="39" spans="1:32">
      <c r="A39" s="169" t="s">
        <v>140</v>
      </c>
      <c r="B39" s="175">
        <v>270679</v>
      </c>
      <c r="C39" s="175">
        <v>491061</v>
      </c>
      <c r="D39" s="175">
        <v>22200</v>
      </c>
      <c r="E39" s="175"/>
      <c r="F39" s="175"/>
      <c r="G39" s="175">
        <v>51666</v>
      </c>
      <c r="H39" s="175">
        <v>797707</v>
      </c>
      <c r="I39" s="175">
        <v>250000</v>
      </c>
      <c r="J39" s="175">
        <v>540106.94999999995</v>
      </c>
      <c r="K39" s="175">
        <v>44712.98</v>
      </c>
      <c r="L39" s="175">
        <v>60000</v>
      </c>
      <c r="M39" s="175">
        <v>2506000</v>
      </c>
      <c r="N39" s="205">
        <f t="shared" si="1"/>
        <v>5034132.93</v>
      </c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205">
        <f t="shared" si="0"/>
        <v>0</v>
      </c>
      <c r="AA39" s="175"/>
      <c r="AB39" s="207">
        <f t="shared" si="2"/>
        <v>5034132.93</v>
      </c>
      <c r="AC39" s="175"/>
      <c r="AD39" s="211">
        <v>749</v>
      </c>
      <c r="AF39" s="203">
        <f t="shared" si="3"/>
        <v>6721.1387583444584</v>
      </c>
    </row>
    <row r="40" spans="1:32">
      <c r="A40" s="220" t="s">
        <v>110</v>
      </c>
      <c r="B40" s="205"/>
      <c r="C40" s="205">
        <v>84809</v>
      </c>
      <c r="D40" s="205">
        <v>462156</v>
      </c>
      <c r="E40" s="205">
        <v>108000</v>
      </c>
      <c r="F40" s="205"/>
      <c r="G40" s="205">
        <v>20000</v>
      </c>
      <c r="H40" s="205"/>
      <c r="I40" s="205"/>
      <c r="J40" s="205"/>
      <c r="K40" s="205"/>
      <c r="L40" s="205"/>
      <c r="M40" s="205"/>
      <c r="N40" s="205">
        <f t="shared" si="1"/>
        <v>674965</v>
      </c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>
        <f t="shared" si="0"/>
        <v>0</v>
      </c>
      <c r="AA40" s="205"/>
      <c r="AB40" s="205">
        <f t="shared" si="2"/>
        <v>674965</v>
      </c>
      <c r="AC40" s="205"/>
      <c r="AD40" s="220">
        <v>235</v>
      </c>
      <c r="AE40" s="220"/>
      <c r="AF40" s="221">
        <f t="shared" si="3"/>
        <v>2872.1914893617022</v>
      </c>
    </row>
    <row r="41" spans="1:32">
      <c r="A41" s="169" t="s">
        <v>111</v>
      </c>
      <c r="B41" s="175">
        <v>23000</v>
      </c>
      <c r="C41" s="175">
        <v>41850</v>
      </c>
      <c r="D41" s="175">
        <v>266000</v>
      </c>
      <c r="E41" s="175"/>
      <c r="F41" s="175"/>
      <c r="G41" s="175">
        <v>1800</v>
      </c>
      <c r="H41" s="175">
        <v>15400</v>
      </c>
      <c r="I41" s="175"/>
      <c r="J41" s="175"/>
      <c r="K41" s="175"/>
      <c r="L41" s="175"/>
      <c r="M41" s="175"/>
      <c r="N41" s="205">
        <f t="shared" si="1"/>
        <v>348050</v>
      </c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205">
        <f t="shared" si="0"/>
        <v>0</v>
      </c>
      <c r="AA41" s="175"/>
      <c r="AB41" s="207">
        <f t="shared" si="2"/>
        <v>348050</v>
      </c>
      <c r="AC41" s="175"/>
      <c r="AD41" s="210">
        <v>102</v>
      </c>
      <c r="AF41" s="203">
        <f t="shared" si="3"/>
        <v>3412.2549019607845</v>
      </c>
    </row>
    <row r="42" spans="1:32">
      <c r="A42" s="220" t="s">
        <v>112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>
        <f t="shared" si="1"/>
        <v>0</v>
      </c>
      <c r="O42" s="205"/>
      <c r="P42" s="205">
        <v>364720</v>
      </c>
      <c r="Q42" s="205">
        <v>92590</v>
      </c>
      <c r="R42" s="205">
        <v>12000</v>
      </c>
      <c r="S42" s="205">
        <v>45700</v>
      </c>
      <c r="T42" s="205">
        <v>1027311</v>
      </c>
      <c r="U42" s="205">
        <v>300000</v>
      </c>
      <c r="V42" s="205">
        <v>670000</v>
      </c>
      <c r="W42" s="205">
        <v>57594</v>
      </c>
      <c r="X42" s="205">
        <v>550000</v>
      </c>
      <c r="Y42" s="205">
        <v>200000</v>
      </c>
      <c r="Z42" s="205">
        <f t="shared" si="0"/>
        <v>3319915</v>
      </c>
      <c r="AA42" s="205"/>
      <c r="AB42" s="205">
        <f t="shared" si="2"/>
        <v>3319915</v>
      </c>
      <c r="AC42" s="205"/>
      <c r="AD42" s="220">
        <v>341</v>
      </c>
      <c r="AE42" s="220"/>
      <c r="AF42" s="221">
        <f t="shared" si="3"/>
        <v>9735.8211143695007</v>
      </c>
    </row>
    <row r="43" spans="1:32">
      <c r="A43" s="169" t="s">
        <v>113</v>
      </c>
      <c r="B43" s="175"/>
      <c r="C43" s="175">
        <v>58800</v>
      </c>
      <c r="D43" s="175">
        <v>541800</v>
      </c>
      <c r="E43" s="175"/>
      <c r="F43" s="175"/>
      <c r="G43" s="175"/>
      <c r="H43" s="175"/>
      <c r="I43" s="175"/>
      <c r="J43" s="175"/>
      <c r="K43" s="175"/>
      <c r="L43" s="175"/>
      <c r="M43" s="175"/>
      <c r="N43" s="205">
        <f t="shared" si="1"/>
        <v>600600</v>
      </c>
      <c r="O43" s="175"/>
      <c r="P43" s="175" t="s">
        <v>35</v>
      </c>
      <c r="Q43" s="175" t="s">
        <v>35</v>
      </c>
      <c r="R43" s="175" t="s">
        <v>35</v>
      </c>
      <c r="S43" s="175" t="s">
        <v>35</v>
      </c>
      <c r="T43" s="175" t="s">
        <v>35</v>
      </c>
      <c r="U43" s="175" t="s">
        <v>35</v>
      </c>
      <c r="V43" s="175" t="s">
        <v>35</v>
      </c>
      <c r="W43" s="175" t="s">
        <v>35</v>
      </c>
      <c r="X43" s="175" t="s">
        <v>35</v>
      </c>
      <c r="Y43" s="175" t="s">
        <v>35</v>
      </c>
      <c r="Z43" s="205">
        <f t="shared" si="0"/>
        <v>0</v>
      </c>
      <c r="AA43" s="175"/>
      <c r="AB43" s="207">
        <f>Z43+N43</f>
        <v>600600</v>
      </c>
      <c r="AC43" s="175"/>
      <c r="AD43" s="210">
        <v>225</v>
      </c>
      <c r="AF43" s="203">
        <f t="shared" si="3"/>
        <v>2669.3333333333335</v>
      </c>
    </row>
    <row r="44" spans="1:32">
      <c r="A44" s="219" t="s">
        <v>114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>
        <f t="shared" si="1"/>
        <v>0</v>
      </c>
      <c r="O44" s="205"/>
      <c r="P44" s="205">
        <v>295000</v>
      </c>
      <c r="Q44" s="205">
        <v>558750</v>
      </c>
      <c r="R44" s="205">
        <v>0</v>
      </c>
      <c r="S44" s="205">
        <v>91960</v>
      </c>
      <c r="T44" s="205">
        <v>1100000</v>
      </c>
      <c r="U44" s="205">
        <v>875000</v>
      </c>
      <c r="V44" s="205">
        <v>285000</v>
      </c>
      <c r="W44" s="205">
        <v>28548</v>
      </c>
      <c r="X44" s="205">
        <v>50000</v>
      </c>
      <c r="Y44" s="205">
        <v>75000</v>
      </c>
      <c r="Z44" s="205">
        <f t="shared" si="0"/>
        <v>3359258</v>
      </c>
      <c r="AA44" s="205"/>
      <c r="AB44" s="205">
        <f t="shared" si="2"/>
        <v>3359258</v>
      </c>
      <c r="AC44" s="205"/>
      <c r="AD44" s="220">
        <v>225</v>
      </c>
      <c r="AE44" s="220"/>
      <c r="AF44" s="221">
        <f t="shared" si="3"/>
        <v>14930.035555555556</v>
      </c>
    </row>
    <row r="45" spans="1:32">
      <c r="A45" s="169" t="s">
        <v>115</v>
      </c>
      <c r="B45" s="175"/>
      <c r="C45" s="175">
        <v>5000</v>
      </c>
      <c r="D45" s="175">
        <v>10000</v>
      </c>
      <c r="E45" s="175"/>
      <c r="F45" s="175"/>
      <c r="G45" s="175"/>
      <c r="H45" s="175"/>
      <c r="I45" s="175"/>
      <c r="J45" s="175"/>
      <c r="K45" s="175"/>
      <c r="L45" s="175"/>
      <c r="M45" s="175"/>
      <c r="N45" s="205">
        <f t="shared" si="1"/>
        <v>15000</v>
      </c>
      <c r="O45" s="175">
        <v>15000</v>
      </c>
      <c r="P45" s="175">
        <v>158227</v>
      </c>
      <c r="Q45" s="175">
        <v>503534</v>
      </c>
      <c r="R45" s="175"/>
      <c r="S45" s="175">
        <v>85250</v>
      </c>
      <c r="T45" s="175">
        <v>465000</v>
      </c>
      <c r="U45" s="175"/>
      <c r="V45" s="175">
        <v>1200000</v>
      </c>
      <c r="W45" s="175"/>
      <c r="X45" s="175">
        <v>50000</v>
      </c>
      <c r="Y45" s="175">
        <v>130925</v>
      </c>
      <c r="Z45" s="205">
        <f t="shared" si="0"/>
        <v>2592936</v>
      </c>
      <c r="AA45" s="175"/>
      <c r="AB45" s="207">
        <f t="shared" si="2"/>
        <v>2607936</v>
      </c>
      <c r="AC45" s="175"/>
      <c r="AD45" s="210">
        <v>388</v>
      </c>
      <c r="AF45" s="203">
        <f t="shared" si="3"/>
        <v>6721.4845360824738</v>
      </c>
    </row>
    <row r="46" spans="1:32">
      <c r="A46" s="220" t="s">
        <v>116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>
        <f t="shared" si="1"/>
        <v>0</v>
      </c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>
        <f t="shared" si="0"/>
        <v>0</v>
      </c>
      <c r="AA46" s="205"/>
      <c r="AB46" s="205">
        <f t="shared" si="2"/>
        <v>0</v>
      </c>
      <c r="AC46" s="205"/>
      <c r="AD46" s="222">
        <v>0</v>
      </c>
      <c r="AE46" s="220"/>
      <c r="AF46" s="221" t="s">
        <v>45</v>
      </c>
    </row>
    <row r="47" spans="1:32">
      <c r="A47" s="169" t="s">
        <v>117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205">
        <f t="shared" si="1"/>
        <v>0</v>
      </c>
      <c r="O47" s="175"/>
      <c r="P47" s="175">
        <v>185000</v>
      </c>
      <c r="Q47" s="175">
        <v>268000</v>
      </c>
      <c r="R47" s="175">
        <v>1200</v>
      </c>
      <c r="S47" s="175">
        <v>18092</v>
      </c>
      <c r="T47" s="175">
        <v>473069</v>
      </c>
      <c r="U47" s="175"/>
      <c r="V47" s="175">
        <v>836643</v>
      </c>
      <c r="W47" s="175"/>
      <c r="X47" s="175">
        <v>38000</v>
      </c>
      <c r="Y47" s="175">
        <v>48000</v>
      </c>
      <c r="Z47" s="205">
        <f t="shared" si="0"/>
        <v>1868004</v>
      </c>
      <c r="AA47" s="175"/>
      <c r="AB47" s="207">
        <f t="shared" si="2"/>
        <v>1868004</v>
      </c>
      <c r="AC47" s="175"/>
      <c r="AD47" s="211">
        <v>434</v>
      </c>
      <c r="AF47" s="203">
        <f t="shared" si="3"/>
        <v>4304.1566820276494</v>
      </c>
    </row>
    <row r="48" spans="1:32">
      <c r="A48" s="220" t="s">
        <v>118</v>
      </c>
      <c r="B48" s="205">
        <v>132000</v>
      </c>
      <c r="C48" s="205">
        <v>36000</v>
      </c>
      <c r="D48" s="205">
        <v>872930</v>
      </c>
      <c r="E48" s="205">
        <v>0</v>
      </c>
      <c r="F48" s="205">
        <v>0</v>
      </c>
      <c r="G48" s="205"/>
      <c r="H48" s="205">
        <v>0</v>
      </c>
      <c r="I48" s="205"/>
      <c r="J48" s="205">
        <v>0</v>
      </c>
      <c r="K48" s="205">
        <v>0</v>
      </c>
      <c r="L48" s="205">
        <v>0</v>
      </c>
      <c r="M48" s="205">
        <v>122367</v>
      </c>
      <c r="N48" s="205">
        <f t="shared" si="1"/>
        <v>1163297</v>
      </c>
      <c r="O48" s="205">
        <v>1163297</v>
      </c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>
        <f t="shared" si="0"/>
        <v>0</v>
      </c>
      <c r="AA48" s="205"/>
      <c r="AB48" s="205">
        <f t="shared" si="2"/>
        <v>1163297</v>
      </c>
      <c r="AC48" s="205"/>
      <c r="AD48" s="220">
        <v>516</v>
      </c>
      <c r="AE48" s="220"/>
      <c r="AF48" s="221">
        <f t="shared" si="3"/>
        <v>2254.4515503875969</v>
      </c>
    </row>
    <row r="49" spans="1:32">
      <c r="A49" s="169" t="s">
        <v>119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205">
        <f t="shared" si="1"/>
        <v>0</v>
      </c>
      <c r="O49" s="175"/>
      <c r="P49" s="175">
        <v>80938</v>
      </c>
      <c r="Q49" s="175">
        <v>44273</v>
      </c>
      <c r="R49" s="175"/>
      <c r="S49" s="175"/>
      <c r="T49" s="175">
        <v>620000</v>
      </c>
      <c r="U49" s="175"/>
      <c r="V49" s="175">
        <v>167535.51</v>
      </c>
      <c r="W49" s="175">
        <v>409225.34</v>
      </c>
      <c r="X49" s="175">
        <v>197281</v>
      </c>
      <c r="Y49" s="175">
        <v>16000</v>
      </c>
      <c r="Z49" s="205">
        <f t="shared" si="0"/>
        <v>1535252.85</v>
      </c>
      <c r="AA49" s="175"/>
      <c r="AB49" s="207">
        <f t="shared" si="2"/>
        <v>1535252.85</v>
      </c>
      <c r="AC49" s="175"/>
      <c r="AD49" s="210">
        <v>351</v>
      </c>
      <c r="AF49" s="203">
        <f t="shared" si="3"/>
        <v>4373.9397435897436</v>
      </c>
    </row>
    <row r="50" spans="1:32">
      <c r="A50" s="220" t="s">
        <v>120</v>
      </c>
      <c r="B50" s="205">
        <v>30088</v>
      </c>
      <c r="C50" s="205">
        <v>66850</v>
      </c>
      <c r="D50" s="205">
        <v>498992</v>
      </c>
      <c r="E50" s="205">
        <v>72000</v>
      </c>
      <c r="F50" s="205"/>
      <c r="G50" s="205"/>
      <c r="H50" s="205">
        <v>17603</v>
      </c>
      <c r="I50" s="205"/>
      <c r="J50" s="205"/>
      <c r="K50" s="205"/>
      <c r="L50" s="205"/>
      <c r="M50" s="205"/>
      <c r="N50" s="205">
        <f t="shared" si="1"/>
        <v>685533</v>
      </c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>
        <f t="shared" si="0"/>
        <v>0</v>
      </c>
      <c r="AA50" s="205"/>
      <c r="AB50" s="205">
        <f>Z50+N50</f>
        <v>685533</v>
      </c>
      <c r="AC50" s="205"/>
      <c r="AD50" s="220">
        <v>241</v>
      </c>
      <c r="AE50" s="220"/>
      <c r="AF50" s="221">
        <f t="shared" si="3"/>
        <v>2844.5352697095436</v>
      </c>
    </row>
    <row r="51" spans="1:32">
      <c r="A51" s="169" t="s">
        <v>121</v>
      </c>
      <c r="B51" s="175">
        <v>174200</v>
      </c>
      <c r="C51" s="175">
        <v>194076</v>
      </c>
      <c r="D51" s="175">
        <v>1563422</v>
      </c>
      <c r="E51" s="175">
        <v>0</v>
      </c>
      <c r="F51" s="175">
        <v>0</v>
      </c>
      <c r="G51" s="175">
        <v>0</v>
      </c>
      <c r="H51" s="175">
        <v>269810.13</v>
      </c>
      <c r="I51" s="175"/>
      <c r="J51" s="175">
        <v>110419.65000000001</v>
      </c>
      <c r="K51" s="175">
        <v>134957.35</v>
      </c>
      <c r="L51" s="175"/>
      <c r="M51" s="175"/>
      <c r="N51" s="205">
        <f t="shared" si="1"/>
        <v>2446885.13</v>
      </c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205">
        <f t="shared" si="0"/>
        <v>0</v>
      </c>
      <c r="AA51" s="175"/>
      <c r="AB51" s="207">
        <f>Z51+N51</f>
        <v>2446885.13</v>
      </c>
      <c r="AC51" s="175"/>
      <c r="AD51" s="210">
        <v>668</v>
      </c>
      <c r="AF51" s="203">
        <f t="shared" si="3"/>
        <v>3663.0016916167665</v>
      </c>
    </row>
    <row r="52" spans="1:32">
      <c r="A52" s="223" t="s">
        <v>122</v>
      </c>
      <c r="B52" s="206">
        <v>16000</v>
      </c>
      <c r="C52" s="206">
        <v>42066</v>
      </c>
      <c r="D52" s="206">
        <v>275920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>
        <f>SUM(B52:M52)</f>
        <v>333986</v>
      </c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>
        <f>SUM(P52:Y52)</f>
        <v>0</v>
      </c>
      <c r="AA52" s="206"/>
      <c r="AB52" s="206">
        <f>Z52+N52</f>
        <v>333986</v>
      </c>
      <c r="AC52" s="206"/>
      <c r="AD52" s="223">
        <v>116</v>
      </c>
      <c r="AE52" s="223"/>
      <c r="AF52" s="224">
        <f t="shared" si="3"/>
        <v>2879.1896551724139</v>
      </c>
    </row>
    <row r="53" spans="1:32" s="160" customFormat="1">
      <c r="A53" s="160" t="s">
        <v>132</v>
      </c>
      <c r="B53" s="161">
        <f t="shared" ref="B53:AB53" si="4">SUM(B4:B52)</f>
        <v>5366940.4611</v>
      </c>
      <c r="C53" s="161">
        <f t="shared" si="4"/>
        <v>5786443.9199999999</v>
      </c>
      <c r="D53" s="161">
        <f t="shared" si="4"/>
        <v>28821272.324000001</v>
      </c>
      <c r="E53" s="161">
        <f t="shared" si="4"/>
        <v>747740.24</v>
      </c>
      <c r="F53" s="161">
        <f t="shared" si="4"/>
        <v>1291432.7</v>
      </c>
      <c r="G53" s="161">
        <f t="shared" si="4"/>
        <v>617749.14950000006</v>
      </c>
      <c r="H53" s="161">
        <f t="shared" si="4"/>
        <v>7367466.6299999999</v>
      </c>
      <c r="I53" s="161">
        <f t="shared" si="4"/>
        <v>2940837</v>
      </c>
      <c r="J53" s="161">
        <f t="shared" si="4"/>
        <v>1333227.2851032836</v>
      </c>
      <c r="K53" s="161">
        <f t="shared" si="4"/>
        <v>295237.33</v>
      </c>
      <c r="L53" s="161">
        <f t="shared" si="4"/>
        <v>4962008</v>
      </c>
      <c r="M53" s="161">
        <f t="shared" si="4"/>
        <v>7334059</v>
      </c>
      <c r="N53" s="165">
        <f t="shared" si="4"/>
        <v>66864414.039703287</v>
      </c>
      <c r="O53" s="161">
        <f t="shared" si="4"/>
        <v>1178297</v>
      </c>
      <c r="P53" s="161">
        <f t="shared" si="4"/>
        <v>3839325</v>
      </c>
      <c r="Q53" s="161">
        <f t="shared" si="4"/>
        <v>6317521</v>
      </c>
      <c r="R53" s="161">
        <f t="shared" si="4"/>
        <v>198229</v>
      </c>
      <c r="S53" s="161">
        <f t="shared" si="4"/>
        <v>765394.7</v>
      </c>
      <c r="T53" s="161">
        <f t="shared" si="4"/>
        <v>11282127</v>
      </c>
      <c r="U53" s="161">
        <f t="shared" si="4"/>
        <v>8976146.5408545528</v>
      </c>
      <c r="V53" s="161">
        <f t="shared" si="4"/>
        <v>10160525.134896716</v>
      </c>
      <c r="W53" s="161">
        <f t="shared" si="4"/>
        <v>1706583.7100000002</v>
      </c>
      <c r="X53" s="161">
        <f t="shared" si="4"/>
        <v>2920543</v>
      </c>
      <c r="Y53" s="161">
        <f t="shared" si="4"/>
        <v>5211647</v>
      </c>
      <c r="Z53" s="165">
        <f t="shared" si="4"/>
        <v>51378042.085751273</v>
      </c>
      <c r="AA53" s="161">
        <f t="shared" si="4"/>
        <v>0</v>
      </c>
      <c r="AB53" s="209">
        <f t="shared" si="4"/>
        <v>118242456.12545455</v>
      </c>
      <c r="AC53" s="161"/>
      <c r="AD53" s="212">
        <f>SUM(AD4:AD52)</f>
        <v>27373</v>
      </c>
      <c r="AF53" s="232">
        <f>AB53/AD53</f>
        <v>4319.6747205441325</v>
      </c>
    </row>
    <row r="54" spans="1:32" hidden="1">
      <c r="A54" s="169" t="s">
        <v>133</v>
      </c>
      <c r="B54" s="175">
        <f>B53</f>
        <v>5366940.4611</v>
      </c>
      <c r="C54" s="175">
        <f t="shared" ref="C54:AB54" si="5">C53</f>
        <v>5786443.9199999999</v>
      </c>
      <c r="D54" s="175">
        <f t="shared" si="5"/>
        <v>28821272.324000001</v>
      </c>
      <c r="E54" s="175">
        <f t="shared" si="5"/>
        <v>747740.24</v>
      </c>
      <c r="F54" s="175">
        <f t="shared" si="5"/>
        <v>1291432.7</v>
      </c>
      <c r="G54" s="175">
        <f t="shared" si="5"/>
        <v>617749.14950000006</v>
      </c>
      <c r="H54" s="175">
        <f t="shared" si="5"/>
        <v>7367466.6299999999</v>
      </c>
      <c r="I54" s="175">
        <f t="shared" si="5"/>
        <v>2940837</v>
      </c>
      <c r="J54" s="175">
        <f t="shared" si="5"/>
        <v>1333227.2851032836</v>
      </c>
      <c r="K54" s="175">
        <f t="shared" si="5"/>
        <v>295237.33</v>
      </c>
      <c r="L54" s="175">
        <f t="shared" si="5"/>
        <v>4962008</v>
      </c>
      <c r="M54" s="175">
        <f t="shared" si="5"/>
        <v>7334059</v>
      </c>
      <c r="N54" s="175">
        <f t="shared" si="5"/>
        <v>66864414.039703287</v>
      </c>
      <c r="O54" s="175">
        <f t="shared" si="5"/>
        <v>1178297</v>
      </c>
      <c r="P54" s="175">
        <f t="shared" si="5"/>
        <v>3839325</v>
      </c>
      <c r="Q54" s="175">
        <f t="shared" si="5"/>
        <v>6317521</v>
      </c>
      <c r="R54" s="175">
        <f t="shared" si="5"/>
        <v>198229</v>
      </c>
      <c r="S54" s="175">
        <f t="shared" si="5"/>
        <v>765394.7</v>
      </c>
      <c r="T54" s="175">
        <f t="shared" si="5"/>
        <v>11282127</v>
      </c>
      <c r="U54" s="175">
        <f t="shared" si="5"/>
        <v>8976146.5408545528</v>
      </c>
      <c r="V54" s="175">
        <f>V53</f>
        <v>10160525.134896716</v>
      </c>
      <c r="W54" s="175">
        <f t="shared" si="5"/>
        <v>1706583.7100000002</v>
      </c>
      <c r="X54" s="175">
        <f t="shared" si="5"/>
        <v>2920543</v>
      </c>
      <c r="Y54" s="175">
        <f t="shared" si="5"/>
        <v>5211647</v>
      </c>
      <c r="Z54" s="175">
        <f t="shared" si="5"/>
        <v>51378042.085751273</v>
      </c>
      <c r="AA54" s="175">
        <f t="shared" si="5"/>
        <v>0</v>
      </c>
      <c r="AB54" s="175">
        <f t="shared" si="5"/>
        <v>118242456.12545455</v>
      </c>
      <c r="AC54" s="175"/>
      <c r="AD54" s="176">
        <f>AD53-AD35</f>
        <v>27206</v>
      </c>
    </row>
    <row r="55" spans="1:32" hidden="1">
      <c r="B55" s="192">
        <f>B54/$N$54</f>
        <v>8.0266020994563342E-2</v>
      </c>
      <c r="C55" s="192">
        <f t="shared" ref="C55:M55" si="6">C54/$N$54</f>
        <v>8.6539963044678425E-2</v>
      </c>
      <c r="D55" s="192">
        <f t="shared" si="6"/>
        <v>0.43104052787909386</v>
      </c>
      <c r="E55" s="192">
        <f t="shared" si="6"/>
        <v>1.1182932666634914E-2</v>
      </c>
      <c r="F55" s="192">
        <f t="shared" si="6"/>
        <v>1.9314200513791426E-2</v>
      </c>
      <c r="G55" s="192">
        <f t="shared" si="6"/>
        <v>9.2388329184069119E-3</v>
      </c>
      <c r="H55" s="192">
        <f t="shared" si="6"/>
        <v>0.11018516704005342</v>
      </c>
      <c r="I55" s="192">
        <f t="shared" si="6"/>
        <v>4.3982094844258503E-2</v>
      </c>
      <c r="J55" s="192">
        <f t="shared" si="6"/>
        <v>1.9939265216795725E-2</v>
      </c>
      <c r="K55" s="192">
        <f t="shared" si="6"/>
        <v>4.4154627575842004E-3</v>
      </c>
      <c r="L55" s="192">
        <f t="shared" si="6"/>
        <v>7.4209997519063264E-2</v>
      </c>
      <c r="M55" s="192">
        <f t="shared" si="6"/>
        <v>0.10968553460507593</v>
      </c>
      <c r="P55" s="192">
        <f>P54/$Z$54</f>
        <v>7.4726962027709579E-2</v>
      </c>
      <c r="Q55" s="192">
        <f t="shared" ref="Q55:Y55" si="7">Q54/$Z$54</f>
        <v>0.12296149762686354</v>
      </c>
      <c r="R55" s="192">
        <f t="shared" si="7"/>
        <v>3.8582435599463036E-3</v>
      </c>
      <c r="S55" s="192">
        <f t="shared" si="7"/>
        <v>1.4897311554273254E-2</v>
      </c>
      <c r="T55" s="192">
        <f t="shared" si="7"/>
        <v>0.21959044257019059</v>
      </c>
      <c r="U55" s="192">
        <f t="shared" si="7"/>
        <v>0.17470783580801177</v>
      </c>
      <c r="V55" s="192">
        <f t="shared" si="7"/>
        <v>0.19776006874568203</v>
      </c>
      <c r="W55" s="192">
        <f t="shared" si="7"/>
        <v>3.3216207561036833E-2</v>
      </c>
      <c r="X55" s="192">
        <f t="shared" si="7"/>
        <v>5.684418637684828E-2</v>
      </c>
      <c r="Y55" s="192">
        <f t="shared" si="7"/>
        <v>0.10143724416943774</v>
      </c>
    </row>
    <row r="56" spans="1:32" hidden="1"/>
    <row r="57" spans="1:32" hidden="1">
      <c r="AB57" s="169">
        <f>Z54/AB54</f>
        <v>0.43451433410043067</v>
      </c>
    </row>
    <row r="58" spans="1:32" hidden="1">
      <c r="R58" s="169">
        <v>0</v>
      </c>
      <c r="S58" s="180" t="s">
        <v>134</v>
      </c>
      <c r="T58" s="180" t="s">
        <v>136</v>
      </c>
      <c r="U58" s="181" t="s">
        <v>137</v>
      </c>
    </row>
    <row r="59" spans="1:32" hidden="1">
      <c r="R59" s="169">
        <v>500</v>
      </c>
      <c r="S59" s="182">
        <v>0</v>
      </c>
      <c r="T59" s="179">
        <v>0</v>
      </c>
      <c r="U59" s="192">
        <f>T59/$T$71</f>
        <v>0</v>
      </c>
    </row>
    <row r="60" spans="1:32" hidden="1">
      <c r="R60" s="169">
        <v>1000</v>
      </c>
      <c r="S60" s="182">
        <v>500</v>
      </c>
      <c r="T60" s="179">
        <v>0</v>
      </c>
      <c r="U60" s="192">
        <f t="shared" ref="U60:U70" si="8">T60/$T$71</f>
        <v>0</v>
      </c>
    </row>
    <row r="61" spans="1:32" hidden="1">
      <c r="R61" s="169">
        <v>1500</v>
      </c>
      <c r="S61" s="182">
        <v>1000</v>
      </c>
      <c r="T61" s="179">
        <v>0</v>
      </c>
      <c r="U61" s="192">
        <f t="shared" si="8"/>
        <v>0</v>
      </c>
    </row>
    <row r="62" spans="1:32" hidden="1">
      <c r="R62" s="169">
        <v>2000</v>
      </c>
      <c r="S62" s="182">
        <v>1500</v>
      </c>
      <c r="T62" s="179">
        <v>1</v>
      </c>
      <c r="U62" s="192">
        <f t="shared" si="8"/>
        <v>2.5000000000000001E-2</v>
      </c>
    </row>
    <row r="63" spans="1:32" hidden="1">
      <c r="R63" s="169">
        <v>2500</v>
      </c>
      <c r="S63" s="182">
        <v>2000</v>
      </c>
      <c r="T63" s="179">
        <v>2</v>
      </c>
      <c r="U63" s="192">
        <f>T63/$T$71</f>
        <v>0.05</v>
      </c>
    </row>
    <row r="64" spans="1:32" hidden="1">
      <c r="R64" s="169">
        <v>3000</v>
      </c>
      <c r="S64" s="182">
        <v>2500</v>
      </c>
      <c r="T64" s="179">
        <v>0</v>
      </c>
      <c r="U64" s="192">
        <f t="shared" si="8"/>
        <v>0</v>
      </c>
    </row>
    <row r="65" spans="18:21" hidden="1">
      <c r="R65" s="169">
        <v>3500</v>
      </c>
      <c r="S65" s="182">
        <v>3000</v>
      </c>
      <c r="T65" s="179">
        <v>6</v>
      </c>
      <c r="U65" s="192">
        <f t="shared" si="8"/>
        <v>0.15</v>
      </c>
    </row>
    <row r="66" spans="18:21" hidden="1">
      <c r="R66" s="169">
        <v>4000</v>
      </c>
      <c r="S66" s="182">
        <v>3500</v>
      </c>
      <c r="T66" s="179">
        <v>5</v>
      </c>
      <c r="U66" s="192">
        <f t="shared" si="8"/>
        <v>0.125</v>
      </c>
    </row>
    <row r="67" spans="18:21" hidden="1">
      <c r="R67" s="169">
        <v>4500</v>
      </c>
      <c r="S67" s="182">
        <v>4000</v>
      </c>
      <c r="T67" s="179">
        <v>5</v>
      </c>
      <c r="U67" s="192">
        <f t="shared" si="8"/>
        <v>0.125</v>
      </c>
    </row>
    <row r="68" spans="18:21" hidden="1">
      <c r="R68" s="169">
        <v>5000</v>
      </c>
      <c r="S68" s="182">
        <v>4500</v>
      </c>
      <c r="T68" s="179">
        <v>5</v>
      </c>
      <c r="U68" s="192">
        <f t="shared" si="8"/>
        <v>0.125</v>
      </c>
    </row>
    <row r="69" spans="18:21" hidden="1">
      <c r="S69" s="182">
        <v>5000</v>
      </c>
      <c r="T69" s="179">
        <v>2</v>
      </c>
      <c r="U69" s="192">
        <f t="shared" si="8"/>
        <v>0.05</v>
      </c>
    </row>
    <row r="70" spans="18:21" ht="13" hidden="1" thickBot="1">
      <c r="S70" s="183" t="s">
        <v>135</v>
      </c>
      <c r="T70" s="183">
        <v>14</v>
      </c>
      <c r="U70" s="192">
        <f t="shared" si="8"/>
        <v>0.35</v>
      </c>
    </row>
    <row r="71" spans="18:21" hidden="1">
      <c r="T71" s="169">
        <f>SUM(T59:T70)</f>
        <v>40</v>
      </c>
    </row>
    <row r="72" spans="18:21" hidden="1"/>
    <row r="73" spans="18:21" hidden="1"/>
    <row r="74" spans="18:21" hidden="1"/>
    <row r="75" spans="18:21" hidden="1"/>
    <row r="76" spans="18:21" hidden="1"/>
    <row r="77" spans="18:21" hidden="1"/>
    <row r="78" spans="18:21" hidden="1"/>
    <row r="79" spans="18:21" hidden="1"/>
    <row r="80" spans="18:21" hidden="1"/>
    <row r="81" spans="2:6" hidden="1"/>
    <row r="82" spans="2:6" hidden="1"/>
    <row r="83" spans="2:6" hidden="1"/>
    <row r="84" spans="2:6" hidden="1"/>
    <row r="85" spans="2:6" hidden="1"/>
    <row r="86" spans="2:6" hidden="1"/>
    <row r="87" spans="2:6" hidden="1"/>
    <row r="88" spans="2:6" hidden="1"/>
    <row r="89" spans="2:6" hidden="1"/>
    <row r="90" spans="2:6" hidden="1"/>
    <row r="91" spans="2:6" hidden="1"/>
    <row r="92" spans="2:6" hidden="1"/>
    <row r="93" spans="2:6" hidden="1">
      <c r="B93" s="179" t="str">
        <f>B2</f>
        <v>Utilities</v>
      </c>
      <c r="C93" s="184">
        <f>B55</f>
        <v>8.0266020994563342E-2</v>
      </c>
      <c r="E93" s="169" t="str">
        <f>P2</f>
        <v>Utilities</v>
      </c>
      <c r="F93" s="185">
        <f>P55</f>
        <v>7.4726962027709579E-2</v>
      </c>
    </row>
    <row r="94" spans="2:6" hidden="1">
      <c r="B94" s="179" t="str">
        <f>C2</f>
        <v>Maintenance</v>
      </c>
      <c r="C94" s="184">
        <f>C55</f>
        <v>8.6539963044678425E-2</v>
      </c>
      <c r="E94" s="169" t="str">
        <f>Q2</f>
        <v>Maintenance</v>
      </c>
      <c r="F94" s="185">
        <f>Q55</f>
        <v>0.12296149762686354</v>
      </c>
    </row>
    <row r="95" spans="2:6" hidden="1">
      <c r="B95" s="179" t="str">
        <f>D2</f>
        <v>Direct lease payments</v>
      </c>
      <c r="C95" s="184">
        <f>D55</f>
        <v>0.43104052787909386</v>
      </c>
      <c r="E95" s="169" t="str">
        <f>R2</f>
        <v>Real estate taxes (if applicable)</v>
      </c>
      <c r="F95" s="185">
        <f>R55</f>
        <v>3.8582435599463036E-3</v>
      </c>
    </row>
    <row r="96" spans="2:6" hidden="1">
      <c r="B96" s="179" t="str">
        <f>E2</f>
        <v>Additional lease payments (CAM charges, etc.)</v>
      </c>
      <c r="C96" s="184">
        <f>E55</f>
        <v>1.1182932666634914E-2</v>
      </c>
      <c r="E96" s="169" t="str">
        <f>S2</f>
        <v>Property Insurance</v>
      </c>
      <c r="F96" s="185">
        <f>S55</f>
        <v>1.4897311554273254E-2</v>
      </c>
    </row>
    <row r="97" spans="2:6" hidden="1">
      <c r="B97" s="179" t="str">
        <f>F2</f>
        <v>Real estate taxes (if applicable)</v>
      </c>
      <c r="C97" s="184">
        <f>F55</f>
        <v>1.9314200513791426E-2</v>
      </c>
      <c r="E97" s="169" t="str">
        <f>T2</f>
        <v>Depreciation of building/improvements/FFE</v>
      </c>
      <c r="F97" s="185">
        <f>T55</f>
        <v>0.21959044257019059</v>
      </c>
    </row>
    <row r="98" spans="2:6" hidden="1">
      <c r="B98" s="179" t="str">
        <f>G2</f>
        <v>Property Insurance</v>
      </c>
      <c r="C98" s="184">
        <f>G55</f>
        <v>9.2388329184069119E-3</v>
      </c>
      <c r="E98" s="169" t="str">
        <f>U2</f>
        <v>Debt service for mortgage financing:</v>
      </c>
      <c r="F98" s="185">
        <f>U55+V55+W55</f>
        <v>0.40568411211473066</v>
      </c>
    </row>
    <row r="99" spans="2:6" hidden="1">
      <c r="B99" s="179" t="str">
        <f>H2</f>
        <v>Amortization of leasehold improvements &amp; FFE</v>
      </c>
      <c r="C99" s="184">
        <f>H55</f>
        <v>0.11018516704005342</v>
      </c>
      <c r="E99" s="169" t="str">
        <f>X2</f>
        <v>Capital Expenses (major repairs), not financed</v>
      </c>
      <c r="F99" s="185">
        <f>X55</f>
        <v>5.684418637684828E-2</v>
      </c>
    </row>
    <row r="100" spans="2:6" hidden="1">
      <c r="B100" s="170" t="str">
        <f>I2</f>
        <v>Debt service for LHI &amp; FFE:</v>
      </c>
      <c r="C100" s="184">
        <f>I55+J55+K55</f>
        <v>6.8336822818638426E-2</v>
      </c>
      <c r="E100" s="169" t="str">
        <f>Y2</f>
        <v>Lender Required Reserves</v>
      </c>
      <c r="F100" s="185">
        <f>Y55</f>
        <v>0.10143724416943774</v>
      </c>
    </row>
    <row r="101" spans="2:6" hidden="1">
      <c r="B101" s="179" t="str">
        <f>L2</f>
        <v>Capital expenses (major repairs), not financed</v>
      </c>
      <c r="C101" s="184">
        <f>L55</f>
        <v>7.4209997519063264E-2</v>
      </c>
      <c r="F101" s="186">
        <f>SUM(F93:F100)</f>
        <v>1</v>
      </c>
    </row>
    <row r="102" spans="2:6" hidden="1">
      <c r="B102" s="179" t="str">
        <f>M2</f>
        <v>Lender Required Reserves</v>
      </c>
      <c r="C102" s="184">
        <f>M55</f>
        <v>0.10968553460507593</v>
      </c>
    </row>
    <row r="103" spans="2:6" hidden="1">
      <c r="C103" s="185">
        <f>SUM(C93:C102)</f>
        <v>0.99999999999999989</v>
      </c>
    </row>
    <row r="104" spans="2:6" hidden="1"/>
    <row r="105" spans="2:6" hidden="1"/>
    <row r="106" spans="2:6" hidden="1"/>
    <row r="107" spans="2:6" hidden="1"/>
    <row r="108" spans="2:6" hidden="1"/>
    <row r="109" spans="2:6" hidden="1"/>
    <row r="110" spans="2:6" hidden="1"/>
    <row r="111" spans="2:6" hidden="1"/>
    <row r="112" spans="2:6" hidden="1"/>
    <row r="113" spans="28:28" hidden="1"/>
    <row r="114" spans="28:28" hidden="1"/>
    <row r="115" spans="28:28" hidden="1"/>
    <row r="116" spans="28:28" hidden="1"/>
    <row r="117" spans="28:28" hidden="1"/>
    <row r="118" spans="28:28" hidden="1"/>
    <row r="119" spans="28:28" hidden="1"/>
    <row r="120" spans="28:28" hidden="1"/>
    <row r="121" spans="28:28" hidden="1"/>
    <row r="122" spans="28:28" hidden="1"/>
    <row r="123" spans="28:28" hidden="1"/>
    <row r="124" spans="28:28" hidden="1"/>
    <row r="125" spans="28:28" hidden="1"/>
    <row r="126" spans="28:28" hidden="1"/>
    <row r="127" spans="28:28">
      <c r="AB127" s="233"/>
    </row>
    <row r="129" spans="1:11">
      <c r="A129" s="230" t="s">
        <v>183</v>
      </c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</row>
    <row r="130" spans="1:11">
      <c r="A130" s="230" t="s">
        <v>184</v>
      </c>
      <c r="B130" s="230"/>
      <c r="C130" s="230"/>
      <c r="D130" s="230"/>
      <c r="E130" s="230"/>
      <c r="F130" s="230"/>
      <c r="G130" s="230"/>
      <c r="H130" s="230"/>
      <c r="I130" s="230"/>
      <c r="J130" s="230"/>
      <c r="K130" s="230"/>
    </row>
  </sheetData>
  <mergeCells count="25">
    <mergeCell ref="AD2:AD3"/>
    <mergeCell ref="AF2:AF3"/>
    <mergeCell ref="AB2:AB3"/>
    <mergeCell ref="Q2:Q3"/>
    <mergeCell ref="R2:R3"/>
    <mergeCell ref="S2:S3"/>
    <mergeCell ref="T2:T3"/>
    <mergeCell ref="X2:X3"/>
    <mergeCell ref="Y2:Y3"/>
    <mergeCell ref="P2:P3"/>
    <mergeCell ref="B1:N1"/>
    <mergeCell ref="P1:Z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N2:N3"/>
    <mergeCell ref="Z2:Z3"/>
  </mergeCells>
  <conditionalFormatting sqref="A43 A51:A52">
    <cfRule type="cellIs" dxfId="6" priority="1" stopIfTrue="1" operator="lessThan">
      <formula>0</formula>
    </cfRule>
  </conditionalFormatting>
  <pageMargins left="0.75" right="0.25" top="1" bottom="1" header="0.5" footer="0.5"/>
  <pageSetup paperSize="3" scale="53" orientation="landscape"/>
  <headerFooter alignWithMargins="0">
    <oddHeader>&amp;CBUDGETED PCS Facilities Expenditures - FY2011</oddHead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59"/>
  <sheetViews>
    <sheetView zoomScale="80" zoomScaleNormal="80" zoomScalePageLayoutView="80" workbookViewId="0">
      <pane xSplit="1" ySplit="3" topLeftCell="B4" activePane="bottomRight" state="frozenSplit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baseColWidth="10" defaultColWidth="11.5" defaultRowHeight="12" outlineLevelRow="1" x14ac:dyDescent="0"/>
  <cols>
    <col min="1" max="1" width="36.83203125" style="237" customWidth="1"/>
    <col min="2" max="2" width="12" style="124" bestFit="1" customWidth="1"/>
    <col min="3" max="3" width="12.83203125" style="124" customWidth="1"/>
    <col min="4" max="4" width="13.33203125" style="124" customWidth="1"/>
    <col min="5" max="5" width="12.5" style="124" customWidth="1"/>
    <col min="6" max="6" width="12" style="124" bestFit="1" customWidth="1"/>
    <col min="7" max="7" width="10.6640625" style="124" bestFit="1" customWidth="1"/>
    <col min="8" max="8" width="12.5" style="124" customWidth="1"/>
    <col min="9" max="9" width="12.1640625" style="124" customWidth="1"/>
    <col min="10" max="10" width="12" style="124" bestFit="1" customWidth="1"/>
    <col min="11" max="11" width="10.6640625" style="124" bestFit="1" customWidth="1"/>
    <col min="12" max="12" width="14.5" style="124" customWidth="1"/>
    <col min="13" max="13" width="13.33203125" style="124" customWidth="1"/>
    <col min="14" max="14" width="13" style="124" customWidth="1"/>
    <col min="15" max="15" width="0.83203125" style="124" customWidth="1"/>
    <col min="16" max="17" width="12" style="124" bestFit="1" customWidth="1"/>
    <col min="18" max="19" width="10.6640625" style="124" bestFit="1" customWidth="1"/>
    <col min="20" max="20" width="14.5" style="124" customWidth="1"/>
    <col min="21" max="21" width="14.1640625" style="124" customWidth="1"/>
    <col min="22" max="22" width="13.5" style="124" customWidth="1"/>
    <col min="23" max="23" width="12.5" style="124" customWidth="1"/>
    <col min="24" max="25" width="12" style="124" bestFit="1" customWidth="1"/>
    <col min="26" max="26" width="13.33203125" style="124" bestFit="1" customWidth="1"/>
    <col min="27" max="27" width="1.6640625" style="124" customWidth="1"/>
    <col min="28" max="28" width="15.5" style="124" customWidth="1"/>
    <col min="29" max="29" width="1.83203125" style="124" customWidth="1"/>
    <col min="30" max="30" width="13.33203125" style="142" customWidth="1"/>
    <col min="31" max="31" width="1.6640625" style="124" customWidth="1"/>
    <col min="32" max="32" width="14.1640625" style="124" customWidth="1"/>
    <col min="33" max="16384" width="11.5" style="124"/>
  </cols>
  <sheetData>
    <row r="1" spans="1:33" ht="12.75" customHeight="1">
      <c r="B1" s="307" t="s">
        <v>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P1" s="307" t="s">
        <v>7</v>
      </c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33" ht="12.75" customHeight="1">
      <c r="B2" s="309" t="s">
        <v>19</v>
      </c>
      <c r="C2" s="309" t="s">
        <v>20</v>
      </c>
      <c r="D2" s="309" t="s">
        <v>1</v>
      </c>
      <c r="E2" s="309" t="s">
        <v>11</v>
      </c>
      <c r="F2" s="309" t="s">
        <v>2</v>
      </c>
      <c r="G2" s="309" t="s">
        <v>3</v>
      </c>
      <c r="H2" s="309" t="s">
        <v>22</v>
      </c>
      <c r="I2" s="311" t="s">
        <v>23</v>
      </c>
      <c r="J2" s="311"/>
      <c r="K2" s="311"/>
      <c r="L2" s="309" t="s">
        <v>24</v>
      </c>
      <c r="M2" s="309" t="s">
        <v>31</v>
      </c>
      <c r="N2" s="312" t="s">
        <v>6</v>
      </c>
      <c r="P2" s="305" t="s">
        <v>19</v>
      </c>
      <c r="Q2" s="305" t="s">
        <v>20</v>
      </c>
      <c r="R2" s="305" t="s">
        <v>2</v>
      </c>
      <c r="S2" s="305" t="s">
        <v>3</v>
      </c>
      <c r="T2" s="305" t="s">
        <v>25</v>
      </c>
      <c r="U2" s="143" t="s">
        <v>8</v>
      </c>
      <c r="V2" s="143"/>
      <c r="W2" s="143"/>
      <c r="X2" s="305" t="s">
        <v>26</v>
      </c>
      <c r="Y2" s="305" t="s">
        <v>31</v>
      </c>
      <c r="Z2" s="312" t="s">
        <v>12</v>
      </c>
      <c r="AB2" s="316" t="s">
        <v>13</v>
      </c>
      <c r="AD2" s="314" t="s">
        <v>131</v>
      </c>
      <c r="AF2" s="304" t="s">
        <v>180</v>
      </c>
    </row>
    <row r="3" spans="1:33" ht="54" customHeight="1">
      <c r="A3" s="237" t="s">
        <v>622</v>
      </c>
      <c r="B3" s="310"/>
      <c r="C3" s="310"/>
      <c r="D3" s="310"/>
      <c r="E3" s="310"/>
      <c r="F3" s="310"/>
      <c r="G3" s="310"/>
      <c r="H3" s="310"/>
      <c r="I3" s="166" t="s">
        <v>124</v>
      </c>
      <c r="J3" s="166" t="s">
        <v>5</v>
      </c>
      <c r="K3" s="167" t="s">
        <v>123</v>
      </c>
      <c r="L3" s="310"/>
      <c r="M3" s="310"/>
      <c r="N3" s="313"/>
      <c r="O3" s="162"/>
      <c r="P3" s="306"/>
      <c r="Q3" s="306"/>
      <c r="R3" s="306"/>
      <c r="S3" s="306"/>
      <c r="T3" s="306"/>
      <c r="U3" s="168" t="s">
        <v>4</v>
      </c>
      <c r="V3" s="168" t="s">
        <v>9</v>
      </c>
      <c r="W3" s="168" t="s">
        <v>123</v>
      </c>
      <c r="X3" s="306"/>
      <c r="Y3" s="306"/>
      <c r="Z3" s="313"/>
      <c r="AA3" s="162"/>
      <c r="AB3" s="317"/>
      <c r="AD3" s="315"/>
      <c r="AF3" s="304"/>
      <c r="AG3" s="124" t="s">
        <v>459</v>
      </c>
    </row>
    <row r="4" spans="1:33">
      <c r="A4" s="219" t="str">
        <f>'FY14 vs. ceiling by LEA'!A2</f>
        <v>Achievement Preparatory Academy PCS</v>
      </c>
      <c r="B4" s="205"/>
      <c r="C4" s="205"/>
      <c r="D4" s="205">
        <v>545400</v>
      </c>
      <c r="E4" s="205"/>
      <c r="F4" s="205"/>
      <c r="G4" s="205"/>
      <c r="H4" s="205"/>
      <c r="I4" s="205"/>
      <c r="J4" s="205"/>
      <c r="K4" s="205"/>
      <c r="L4" s="205"/>
      <c r="M4" s="205"/>
      <c r="N4" s="278">
        <f>SUM(B4:M4)</f>
        <v>545400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>
        <f>SUM(P4:Y4)</f>
        <v>0</v>
      </c>
      <c r="AA4" s="205"/>
      <c r="AB4" s="205">
        <f t="shared" ref="AB4:AB56" si="0">Z4+N4</f>
        <v>545400</v>
      </c>
      <c r="AC4" s="205"/>
      <c r="AD4" s="220">
        <v>202</v>
      </c>
      <c r="AE4" s="220"/>
      <c r="AF4" s="221">
        <f>AB4/AD4</f>
        <v>2700</v>
      </c>
    </row>
    <row r="5" spans="1:33">
      <c r="A5" s="235" t="str">
        <f>'FY14 vs. ceiling by LEA'!A3</f>
        <v>AppleTree Early Learning Center PCS</v>
      </c>
      <c r="B5" s="175">
        <v>28922</v>
      </c>
      <c r="C5" s="175">
        <v>269998</v>
      </c>
      <c r="D5" s="175">
        <v>1635541</v>
      </c>
      <c r="E5" s="175">
        <v>6958.79</v>
      </c>
      <c r="F5" s="175"/>
      <c r="G5" s="175"/>
      <c r="H5" s="175"/>
      <c r="I5" s="175"/>
      <c r="J5" s="175">
        <v>128212</v>
      </c>
      <c r="K5" s="175">
        <v>19554</v>
      </c>
      <c r="L5" s="175"/>
      <c r="M5" s="175"/>
      <c r="N5" s="205">
        <f t="shared" ref="N5:N56" si="1">SUM(B5:M5)</f>
        <v>2089185.79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205">
        <f t="shared" ref="Z5:Z56" si="2">SUM(P5:Y5)</f>
        <v>0</v>
      </c>
      <c r="AA5" s="175"/>
      <c r="AB5" s="207">
        <f t="shared" si="0"/>
        <v>2089185.79</v>
      </c>
      <c r="AC5" s="175"/>
      <c r="AD5" s="210">
        <v>617</v>
      </c>
      <c r="AE5" s="169"/>
      <c r="AF5" s="203">
        <f t="shared" ref="AF5:AF29" si="3">AB5/AD5</f>
        <v>3386.0385575364667</v>
      </c>
      <c r="AG5" s="124" t="s">
        <v>621</v>
      </c>
    </row>
    <row r="6" spans="1:33">
      <c r="A6" s="283" t="str">
        <f>'FY14 vs. ceiling by LEA'!A10</f>
        <v>Arts and Technology PCS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>
        <f t="shared" si="1"/>
        <v>0</v>
      </c>
      <c r="O6" s="205"/>
      <c r="P6" s="205">
        <v>149521</v>
      </c>
      <c r="Q6" s="205">
        <v>425384</v>
      </c>
      <c r="R6" s="205"/>
      <c r="S6" s="205">
        <v>23995</v>
      </c>
      <c r="T6" s="205">
        <v>754455</v>
      </c>
      <c r="U6" s="205">
        <v>265119</v>
      </c>
      <c r="V6" s="205">
        <v>228247</v>
      </c>
      <c r="W6" s="205">
        <v>9699</v>
      </c>
      <c r="X6" s="205">
        <v>74881</v>
      </c>
      <c r="Y6" s="205">
        <v>335908</v>
      </c>
      <c r="Z6" s="205">
        <f t="shared" si="2"/>
        <v>2267209</v>
      </c>
      <c r="AA6" s="205"/>
      <c r="AB6" s="205">
        <f t="shared" si="0"/>
        <v>2267209</v>
      </c>
      <c r="AC6" s="205"/>
      <c r="AD6" s="222">
        <v>602</v>
      </c>
      <c r="AE6" s="220"/>
      <c r="AF6" s="221">
        <f t="shared" si="3"/>
        <v>3766.1279069767443</v>
      </c>
    </row>
    <row r="7" spans="1:33">
      <c r="A7" s="235" t="str">
        <f>'FY14 vs. ceiling by LEA'!A12</f>
        <v>Booker T. Washington PCS</v>
      </c>
      <c r="B7" s="175">
        <v>86571</v>
      </c>
      <c r="C7" s="175">
        <v>26712</v>
      </c>
      <c r="D7" s="175">
        <v>1005112</v>
      </c>
      <c r="E7" s="175"/>
      <c r="F7" s="175">
        <v>121000</v>
      </c>
      <c r="G7" s="175"/>
      <c r="H7" s="175"/>
      <c r="I7" s="175"/>
      <c r="J7" s="175"/>
      <c r="K7" s="175"/>
      <c r="L7" s="175"/>
      <c r="M7" s="175"/>
      <c r="N7" s="205">
        <f t="shared" si="1"/>
        <v>1239395</v>
      </c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205">
        <f t="shared" si="2"/>
        <v>0</v>
      </c>
      <c r="AA7" s="175"/>
      <c r="AB7" s="207">
        <f t="shared" si="0"/>
        <v>1239395</v>
      </c>
      <c r="AC7" s="175"/>
      <c r="AD7" s="211">
        <v>408</v>
      </c>
      <c r="AE7" s="169"/>
      <c r="AF7" s="203">
        <f t="shared" si="3"/>
        <v>3037.7328431372548</v>
      </c>
    </row>
    <row r="8" spans="1:33">
      <c r="A8" s="283" t="str">
        <f>'FY14 vs. ceiling by LEA'!A13</f>
        <v>Bridges PCS</v>
      </c>
      <c r="B8" s="205">
        <v>21015</v>
      </c>
      <c r="C8" s="205">
        <v>3134</v>
      </c>
      <c r="D8" s="205">
        <v>189029</v>
      </c>
      <c r="E8" s="205"/>
      <c r="F8" s="205"/>
      <c r="G8" s="205">
        <v>14957</v>
      </c>
      <c r="H8" s="205">
        <v>10631</v>
      </c>
      <c r="I8" s="205"/>
      <c r="J8" s="205"/>
      <c r="K8" s="205"/>
      <c r="L8" s="205"/>
      <c r="M8" s="205"/>
      <c r="N8" s="205">
        <f t="shared" si="1"/>
        <v>238766</v>
      </c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>
        <f t="shared" si="2"/>
        <v>0</v>
      </c>
      <c r="AA8" s="205"/>
      <c r="AB8" s="205">
        <f t="shared" si="0"/>
        <v>238766</v>
      </c>
      <c r="AC8" s="205"/>
      <c r="AD8" s="220">
        <v>86</v>
      </c>
      <c r="AE8" s="220"/>
      <c r="AF8" s="221">
        <f t="shared" si="3"/>
        <v>2776.3488372093025</v>
      </c>
    </row>
    <row r="9" spans="1:33">
      <c r="A9" s="235" t="str">
        <f>'FY14 vs. ceiling by LEA'!A14</f>
        <v>Capital City PCS</v>
      </c>
      <c r="B9" s="175">
        <v>118293</v>
      </c>
      <c r="C9" s="175">
        <v>181658</v>
      </c>
      <c r="D9" s="175">
        <v>1668613</v>
      </c>
      <c r="E9" s="175">
        <v>6006</v>
      </c>
      <c r="F9" s="175"/>
      <c r="G9" s="175">
        <v>10093</v>
      </c>
      <c r="H9" s="175">
        <v>93600</v>
      </c>
      <c r="I9" s="175"/>
      <c r="J9" s="175"/>
      <c r="K9" s="175">
        <v>84905</v>
      </c>
      <c r="L9" s="175">
        <v>4134886</v>
      </c>
      <c r="M9" s="175"/>
      <c r="N9" s="205">
        <f t="shared" si="1"/>
        <v>6298054</v>
      </c>
      <c r="O9" s="175"/>
      <c r="P9" s="175">
        <v>48719</v>
      </c>
      <c r="Q9" s="175">
        <v>86275</v>
      </c>
      <c r="R9" s="175"/>
      <c r="S9" s="175">
        <v>10093</v>
      </c>
      <c r="T9" s="175">
        <v>111459</v>
      </c>
      <c r="U9" s="175">
        <v>86095</v>
      </c>
      <c r="V9" s="175">
        <v>3784646</v>
      </c>
      <c r="W9" s="175">
        <v>4793</v>
      </c>
      <c r="X9" s="175"/>
      <c r="Y9" s="175"/>
      <c r="Z9" s="205">
        <f t="shared" si="2"/>
        <v>4132080</v>
      </c>
      <c r="AA9" s="175"/>
      <c r="AB9" s="207">
        <f t="shared" si="0"/>
        <v>10430134</v>
      </c>
      <c r="AC9" s="175"/>
      <c r="AD9" s="210">
        <v>634</v>
      </c>
      <c r="AE9" s="169"/>
      <c r="AF9" s="203">
        <f t="shared" si="3"/>
        <v>16451.31545741325</v>
      </c>
    </row>
    <row r="10" spans="1:33">
      <c r="A10" s="283" t="str">
        <f>'FY14 vs. ceiling by LEA'!A17</f>
        <v>Carlos Rosario International PCS</v>
      </c>
      <c r="B10" s="205"/>
      <c r="C10" s="205"/>
      <c r="D10" s="205">
        <v>3339897</v>
      </c>
      <c r="E10" s="205"/>
      <c r="F10" s="205"/>
      <c r="G10" s="205"/>
      <c r="H10" s="205">
        <v>1002468</v>
      </c>
      <c r="I10" s="205"/>
      <c r="J10" s="205"/>
      <c r="K10" s="205"/>
      <c r="L10" s="205">
        <v>4612519</v>
      </c>
      <c r="M10" s="205">
        <v>2200000</v>
      </c>
      <c r="N10" s="205">
        <f t="shared" si="1"/>
        <v>11154884</v>
      </c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>
        <f t="shared" si="2"/>
        <v>0</v>
      </c>
      <c r="AA10" s="205"/>
      <c r="AB10" s="205">
        <f t="shared" si="0"/>
        <v>11154884</v>
      </c>
      <c r="AC10" s="205"/>
      <c r="AD10" s="220">
        <v>1808</v>
      </c>
      <c r="AE10" s="220"/>
      <c r="AF10" s="221">
        <f t="shared" si="3"/>
        <v>6169.7367256637172</v>
      </c>
    </row>
    <row r="11" spans="1:33">
      <c r="A11" s="235" t="str">
        <f>'FY14 vs. ceiling by LEA'!A19</f>
        <v>Center City PCS</v>
      </c>
      <c r="B11" s="175">
        <v>339272</v>
      </c>
      <c r="C11" s="175">
        <v>838329</v>
      </c>
      <c r="D11" s="175">
        <v>2064501</v>
      </c>
      <c r="E11" s="175"/>
      <c r="F11" s="175"/>
      <c r="G11" s="175">
        <v>24845</v>
      </c>
      <c r="H11" s="175">
        <v>840199</v>
      </c>
      <c r="I11" s="175"/>
      <c r="J11" s="175"/>
      <c r="K11" s="175"/>
      <c r="L11" s="175">
        <v>409575</v>
      </c>
      <c r="M11" s="175"/>
      <c r="N11" s="205">
        <f t="shared" si="1"/>
        <v>4516721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205">
        <f t="shared" si="2"/>
        <v>0</v>
      </c>
      <c r="AA11" s="175"/>
      <c r="AB11" s="207">
        <f t="shared" si="0"/>
        <v>4516721</v>
      </c>
      <c r="AC11" s="175"/>
      <c r="AD11" s="210">
        <v>1381</v>
      </c>
      <c r="AE11" s="169"/>
      <c r="AF11" s="203">
        <f t="shared" si="3"/>
        <v>3270.6162201303405</v>
      </c>
      <c r="AG11" s="194" t="s">
        <v>621</v>
      </c>
    </row>
    <row r="12" spans="1:33">
      <c r="A12" s="219" t="str">
        <f>'FY14 vs. ceiling by LEA'!A25</f>
        <v>Cesar Chavez PCS for Public Policy</v>
      </c>
      <c r="B12" s="205">
        <v>47157</v>
      </c>
      <c r="C12" s="205">
        <v>536738</v>
      </c>
      <c r="D12" s="205">
        <v>573239</v>
      </c>
      <c r="E12" s="205">
        <v>242199</v>
      </c>
      <c r="F12" s="205"/>
      <c r="G12" s="205">
        <v>30007</v>
      </c>
      <c r="H12" s="205">
        <v>602308</v>
      </c>
      <c r="I12" s="205"/>
      <c r="J12" s="205"/>
      <c r="K12" s="205"/>
      <c r="L12" s="205">
        <v>84135</v>
      </c>
      <c r="M12" s="205"/>
      <c r="N12" s="205">
        <f t="shared" si="1"/>
        <v>2115783</v>
      </c>
      <c r="O12" s="205"/>
      <c r="P12" s="205">
        <v>220543</v>
      </c>
      <c r="Q12" s="205">
        <v>332338</v>
      </c>
      <c r="R12" s="205"/>
      <c r="S12" s="205">
        <v>30007</v>
      </c>
      <c r="T12" s="205">
        <v>499560</v>
      </c>
      <c r="U12" s="205">
        <v>2156094</v>
      </c>
      <c r="V12" s="205">
        <v>425000</v>
      </c>
      <c r="W12" s="205"/>
      <c r="X12" s="205">
        <v>2150</v>
      </c>
      <c r="Y12" s="205"/>
      <c r="Z12" s="205">
        <f t="shared" si="2"/>
        <v>3665692</v>
      </c>
      <c r="AA12" s="205"/>
      <c r="AB12" s="205">
        <f t="shared" si="0"/>
        <v>5781475</v>
      </c>
      <c r="AC12" s="205"/>
      <c r="AD12" s="220">
        <v>1386</v>
      </c>
      <c r="AE12" s="220"/>
      <c r="AF12" s="221">
        <f t="shared" si="3"/>
        <v>4171.3383838383843</v>
      </c>
    </row>
    <row r="13" spans="1:33">
      <c r="A13" s="235" t="str">
        <f>'FY14 vs. ceiling by LEA'!A29</f>
        <v>Community Academy PCS</v>
      </c>
      <c r="B13" s="175">
        <v>352489</v>
      </c>
      <c r="C13" s="175">
        <v>336217</v>
      </c>
      <c r="D13" s="175">
        <v>797011</v>
      </c>
      <c r="E13" s="175"/>
      <c r="F13" s="175"/>
      <c r="G13" s="175">
        <v>15549</v>
      </c>
      <c r="H13" s="175">
        <v>756052</v>
      </c>
      <c r="I13" s="175">
        <v>63138</v>
      </c>
      <c r="J13" s="175">
        <v>49725</v>
      </c>
      <c r="K13" s="175"/>
      <c r="L13" s="175"/>
      <c r="M13" s="175"/>
      <c r="N13" s="205">
        <f t="shared" si="1"/>
        <v>2370181</v>
      </c>
      <c r="O13" s="175"/>
      <c r="P13" s="175">
        <v>330642</v>
      </c>
      <c r="Q13" s="175">
        <v>390821</v>
      </c>
      <c r="R13" s="175"/>
      <c r="S13" s="175">
        <v>8504</v>
      </c>
      <c r="T13" s="175">
        <v>872508</v>
      </c>
      <c r="U13" s="175">
        <v>1185380</v>
      </c>
      <c r="V13" s="175">
        <v>1647118</v>
      </c>
      <c r="W13" s="175">
        <v>139245</v>
      </c>
      <c r="X13" s="175"/>
      <c r="Y13" s="175">
        <v>1500000</v>
      </c>
      <c r="Z13" s="205">
        <f t="shared" si="2"/>
        <v>6074218</v>
      </c>
      <c r="AA13" s="175"/>
      <c r="AB13" s="207">
        <f t="shared" si="0"/>
        <v>8444399</v>
      </c>
      <c r="AC13" s="175"/>
      <c r="AD13" s="210">
        <v>1838</v>
      </c>
      <c r="AE13" s="169"/>
      <c r="AF13" s="203">
        <f t="shared" si="3"/>
        <v>4594.3411316648535</v>
      </c>
      <c r="AG13" s="194" t="s">
        <v>621</v>
      </c>
    </row>
    <row r="14" spans="1:33">
      <c r="A14" s="283" t="str">
        <f>'FY14 vs. ceiling by LEA'!A36</f>
        <v>D.C. Bilingual PCS</v>
      </c>
      <c r="B14" s="205">
        <v>25931</v>
      </c>
      <c r="C14" s="205">
        <v>91573</v>
      </c>
      <c r="D14" s="205">
        <v>1018044</v>
      </c>
      <c r="E14" s="205"/>
      <c r="F14" s="205"/>
      <c r="G14" s="205">
        <v>30499</v>
      </c>
      <c r="H14" s="205">
        <v>99433</v>
      </c>
      <c r="I14" s="205"/>
      <c r="J14" s="205"/>
      <c r="K14" s="205"/>
      <c r="L14" s="205"/>
      <c r="M14" s="205"/>
      <c r="N14" s="205">
        <f t="shared" si="1"/>
        <v>1265480</v>
      </c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>
        <f t="shared" si="2"/>
        <v>0</v>
      </c>
      <c r="AA14" s="205"/>
      <c r="AB14" s="205">
        <f t="shared" si="0"/>
        <v>1265480</v>
      </c>
      <c r="AC14" s="205"/>
      <c r="AD14" s="222">
        <v>353</v>
      </c>
      <c r="AE14" s="220"/>
      <c r="AF14" s="221">
        <f t="shared" si="3"/>
        <v>3584.929178470255</v>
      </c>
    </row>
    <row r="15" spans="1:33">
      <c r="A15" s="235" t="str">
        <f>'FY14 vs. ceiling by LEA'!A37</f>
        <v>D.C. Preparatory Academy PCS</v>
      </c>
      <c r="B15" s="175"/>
      <c r="C15" s="175"/>
      <c r="D15" s="175">
        <v>870017</v>
      </c>
      <c r="E15" s="175"/>
      <c r="F15" s="175"/>
      <c r="G15" s="175"/>
      <c r="H15" s="175">
        <v>23486</v>
      </c>
      <c r="I15" s="175"/>
      <c r="J15" s="175"/>
      <c r="K15" s="175"/>
      <c r="L15" s="175"/>
      <c r="M15" s="175"/>
      <c r="N15" s="205">
        <f t="shared" si="1"/>
        <v>893503</v>
      </c>
      <c r="O15" s="175"/>
      <c r="P15" s="175">
        <v>202736</v>
      </c>
      <c r="Q15" s="175">
        <v>406245</v>
      </c>
      <c r="R15" s="175"/>
      <c r="S15" s="175">
        <v>19446</v>
      </c>
      <c r="T15" s="175">
        <v>516370</v>
      </c>
      <c r="U15" s="175">
        <v>180902</v>
      </c>
      <c r="V15" s="175">
        <v>375000</v>
      </c>
      <c r="W15" s="175">
        <v>246101</v>
      </c>
      <c r="X15" s="175">
        <v>813599</v>
      </c>
      <c r="Y15" s="175"/>
      <c r="Z15" s="205">
        <f t="shared" si="2"/>
        <v>2760399</v>
      </c>
      <c r="AA15" s="175"/>
      <c r="AB15" s="207">
        <f t="shared" si="0"/>
        <v>3653902</v>
      </c>
      <c r="AC15" s="175"/>
      <c r="AD15" s="211">
        <v>1022</v>
      </c>
      <c r="AE15" s="169"/>
      <c r="AF15" s="203">
        <f t="shared" si="3"/>
        <v>3575.2465753424658</v>
      </c>
    </row>
    <row r="16" spans="1:33">
      <c r="A16" s="283" t="str">
        <f>'FY14 vs. ceiling by LEA'!A42</f>
        <v>E L  Haynes PCS</v>
      </c>
      <c r="B16" s="205"/>
      <c r="C16" s="205"/>
      <c r="D16" s="205">
        <v>355894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>
        <f t="shared" si="1"/>
        <v>355894</v>
      </c>
      <c r="O16" s="205"/>
      <c r="P16" s="205">
        <v>282503</v>
      </c>
      <c r="Q16" s="205">
        <v>42613</v>
      </c>
      <c r="R16" s="205"/>
      <c r="S16" s="205"/>
      <c r="T16" s="205">
        <v>1022020</v>
      </c>
      <c r="U16" s="205">
        <v>2668782</v>
      </c>
      <c r="V16" s="205">
        <v>-653272</v>
      </c>
      <c r="W16" s="205"/>
      <c r="X16" s="205"/>
      <c r="Y16" s="205"/>
      <c r="Z16" s="205">
        <f t="shared" si="2"/>
        <v>3362646</v>
      </c>
      <c r="AA16" s="205"/>
      <c r="AB16" s="205">
        <f t="shared" si="0"/>
        <v>3718540</v>
      </c>
      <c r="AC16" s="205"/>
      <c r="AD16" s="220">
        <v>797</v>
      </c>
      <c r="AE16" s="220"/>
      <c r="AF16" s="221">
        <f t="shared" si="3"/>
        <v>4665.6712672521953</v>
      </c>
    </row>
    <row r="17" spans="1:33">
      <c r="A17" s="235" t="str">
        <f>'FY14 vs. ceiling by LEA'!A49</f>
        <v>Elsie Whitlow Stokes Communtiy Freedom PCS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205">
        <f t="shared" si="1"/>
        <v>0</v>
      </c>
      <c r="O17" s="175"/>
      <c r="P17" s="175">
        <v>87799</v>
      </c>
      <c r="Q17" s="175">
        <v>212347</v>
      </c>
      <c r="R17" s="175"/>
      <c r="S17" s="175">
        <v>39816</v>
      </c>
      <c r="T17" s="175">
        <v>274416</v>
      </c>
      <c r="U17" s="175">
        <v>307289</v>
      </c>
      <c r="V17" s="175">
        <v>264375</v>
      </c>
      <c r="W17" s="175"/>
      <c r="X17" s="175"/>
      <c r="Y17" s="175"/>
      <c r="Z17" s="205">
        <f t="shared" si="2"/>
        <v>1186042</v>
      </c>
      <c r="AA17" s="175"/>
      <c r="AB17" s="207">
        <f t="shared" si="0"/>
        <v>1186042</v>
      </c>
      <c r="AC17" s="175"/>
      <c r="AD17" s="210">
        <v>350</v>
      </c>
      <c r="AE17" s="169"/>
      <c r="AF17" s="203">
        <f t="shared" si="3"/>
        <v>3388.6914285714288</v>
      </c>
    </row>
    <row r="18" spans="1:33">
      <c r="A18" s="283" t="str">
        <f>'FY14 vs. ceiling by LEA'!A44</f>
        <v>Eagle Academy PCS</v>
      </c>
      <c r="B18" s="205">
        <v>77420</v>
      </c>
      <c r="C18" s="205">
        <v>36749</v>
      </c>
      <c r="D18" s="205">
        <v>987888</v>
      </c>
      <c r="E18" s="205">
        <v>586863</v>
      </c>
      <c r="F18" s="205">
        <v>341730</v>
      </c>
      <c r="G18" s="205">
        <v>20952</v>
      </c>
      <c r="H18" s="205">
        <v>357166</v>
      </c>
      <c r="I18" s="205"/>
      <c r="J18" s="205"/>
      <c r="K18" s="205"/>
      <c r="L18" s="205">
        <v>256661</v>
      </c>
      <c r="M18" s="205"/>
      <c r="N18" s="205">
        <f t="shared" si="1"/>
        <v>2665429</v>
      </c>
      <c r="O18" s="205"/>
      <c r="P18" s="205">
        <v>13267</v>
      </c>
      <c r="Q18" s="205"/>
      <c r="R18" s="205"/>
      <c r="S18" s="205"/>
      <c r="T18" s="205"/>
      <c r="U18" s="205">
        <v>47052</v>
      </c>
      <c r="V18" s="205"/>
      <c r="W18" s="205"/>
      <c r="X18" s="205"/>
      <c r="Y18" s="205"/>
      <c r="Z18" s="205">
        <f t="shared" si="2"/>
        <v>60319</v>
      </c>
      <c r="AA18" s="205"/>
      <c r="AB18" s="205">
        <f t="shared" si="0"/>
        <v>2725748</v>
      </c>
      <c r="AC18" s="205"/>
      <c r="AD18" s="220">
        <v>610</v>
      </c>
      <c r="AE18" s="220"/>
      <c r="AF18" s="221">
        <f t="shared" si="3"/>
        <v>4468.439344262295</v>
      </c>
    </row>
    <row r="19" spans="1:33">
      <c r="A19" s="235" t="str">
        <f>'FY14 vs. ceiling by LEA'!A46</f>
        <v>Early Childhood Academy PCS</v>
      </c>
      <c r="B19" s="175">
        <v>41922</v>
      </c>
      <c r="C19" s="175">
        <v>103065</v>
      </c>
      <c r="D19" s="175">
        <v>341139</v>
      </c>
      <c r="E19" s="175"/>
      <c r="F19" s="175"/>
      <c r="G19" s="175"/>
      <c r="H19" s="175">
        <v>19557</v>
      </c>
      <c r="I19" s="175"/>
      <c r="J19" s="175"/>
      <c r="K19" s="175"/>
      <c r="L19" s="175"/>
      <c r="M19" s="175"/>
      <c r="N19" s="205">
        <f t="shared" si="1"/>
        <v>505683</v>
      </c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205">
        <f t="shared" si="2"/>
        <v>0</v>
      </c>
      <c r="AA19" s="175"/>
      <c r="AB19" s="207">
        <f t="shared" si="0"/>
        <v>505683</v>
      </c>
      <c r="AC19" s="175"/>
      <c r="AD19" s="210">
        <v>248</v>
      </c>
      <c r="AE19" s="169"/>
      <c r="AF19" s="203">
        <f t="shared" si="3"/>
        <v>2039.0443548387098</v>
      </c>
    </row>
    <row r="20" spans="1:33">
      <c r="A20" s="219" t="str">
        <f>'FY14 vs. ceiling by LEA'!A48</f>
        <v>Education Strengthens Families PCS</v>
      </c>
      <c r="B20" s="205">
        <v>0</v>
      </c>
      <c r="C20" s="205">
        <v>33173</v>
      </c>
      <c r="D20" s="205">
        <v>234374</v>
      </c>
      <c r="E20" s="205"/>
      <c r="F20" s="205"/>
      <c r="G20" s="205">
        <v>6711</v>
      </c>
      <c r="H20" s="205">
        <v>161277</v>
      </c>
      <c r="I20" s="205">
        <v>84125</v>
      </c>
      <c r="J20" s="205">
        <v>13675</v>
      </c>
      <c r="K20" s="205"/>
      <c r="L20" s="205">
        <v>136052</v>
      </c>
      <c r="M20" s="205"/>
      <c r="N20" s="205">
        <f t="shared" si="1"/>
        <v>669387</v>
      </c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>
        <f t="shared" si="2"/>
        <v>0</v>
      </c>
      <c r="AA20" s="205"/>
      <c r="AB20" s="205">
        <f t="shared" si="0"/>
        <v>669387</v>
      </c>
      <c r="AC20" s="205"/>
      <c r="AD20" s="220">
        <v>395</v>
      </c>
      <c r="AE20" s="220"/>
      <c r="AF20" s="221">
        <f t="shared" si="3"/>
        <v>1694.6506329113924</v>
      </c>
    </row>
    <row r="21" spans="1:33">
      <c r="A21" s="235" t="str">
        <f>'FY14 vs. ceiling by LEA'!A50</f>
        <v>Excel Academy PCS</v>
      </c>
      <c r="B21" s="175"/>
      <c r="C21" s="175">
        <v>2913</v>
      </c>
      <c r="D21" s="175">
        <v>1228835</v>
      </c>
      <c r="E21" s="175"/>
      <c r="F21" s="175"/>
      <c r="G21" s="175"/>
      <c r="H21" s="175"/>
      <c r="I21" s="175"/>
      <c r="J21" s="175"/>
      <c r="K21" s="175"/>
      <c r="L21" s="175"/>
      <c r="M21" s="175"/>
      <c r="N21" s="205">
        <f t="shared" si="1"/>
        <v>1231748</v>
      </c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205">
        <f t="shared" si="2"/>
        <v>0</v>
      </c>
      <c r="AA21" s="175"/>
      <c r="AB21" s="207">
        <f t="shared" si="0"/>
        <v>1231748</v>
      </c>
      <c r="AC21" s="175"/>
      <c r="AD21" s="210">
        <v>401</v>
      </c>
      <c r="AE21" s="169"/>
      <c r="AF21" s="203">
        <f t="shared" si="3"/>
        <v>3071.6907730673315</v>
      </c>
    </row>
    <row r="22" spans="1:33">
      <c r="A22" s="283" t="str">
        <f>'FY14 vs. ceiling by LEA'!A51</f>
        <v>Friendship PCS</v>
      </c>
      <c r="B22" s="205">
        <v>801389</v>
      </c>
      <c r="C22" s="205">
        <v>1268876</v>
      </c>
      <c r="D22" s="205">
        <v>63000</v>
      </c>
      <c r="E22" s="205"/>
      <c r="F22" s="205"/>
      <c r="G22" s="205"/>
      <c r="H22" s="205">
        <v>966946</v>
      </c>
      <c r="I22" s="205">
        <v>1130979</v>
      </c>
      <c r="J22" s="205"/>
      <c r="K22" s="205"/>
      <c r="L22" s="205">
        <v>354895</v>
      </c>
      <c r="M22" s="205"/>
      <c r="N22" s="205">
        <f t="shared" si="1"/>
        <v>4586085</v>
      </c>
      <c r="O22" s="205"/>
      <c r="P22" s="205">
        <v>572947</v>
      </c>
      <c r="Q22" s="205">
        <v>2478246</v>
      </c>
      <c r="R22" s="205"/>
      <c r="S22" s="205"/>
      <c r="T22" s="205">
        <v>1931030</v>
      </c>
      <c r="U22" s="205">
        <v>2434422</v>
      </c>
      <c r="V22" s="205"/>
      <c r="W22" s="205"/>
      <c r="X22" s="205">
        <v>1155074</v>
      </c>
      <c r="Y22" s="205"/>
      <c r="Z22" s="205">
        <f t="shared" si="2"/>
        <v>8571719</v>
      </c>
      <c r="AA22" s="205"/>
      <c r="AB22" s="205">
        <f t="shared" si="0"/>
        <v>13157804</v>
      </c>
      <c r="AC22" s="205"/>
      <c r="AD22" s="222">
        <v>3839</v>
      </c>
      <c r="AE22" s="220"/>
      <c r="AF22" s="221">
        <f t="shared" si="3"/>
        <v>3427.4040114613181</v>
      </c>
      <c r="AG22" s="194" t="s">
        <v>621</v>
      </c>
    </row>
    <row r="23" spans="1:33">
      <c r="A23" s="235" t="str">
        <f>'FY14 vs. ceiling by LEA'!A57</f>
        <v>Hope Community Academy PCS</v>
      </c>
      <c r="B23" s="175">
        <v>178204</v>
      </c>
      <c r="C23" s="175">
        <v>137435</v>
      </c>
      <c r="D23" s="175">
        <v>2653867</v>
      </c>
      <c r="E23" s="175"/>
      <c r="F23" s="175"/>
      <c r="G23" s="175">
        <v>44640</v>
      </c>
      <c r="H23" s="175">
        <v>107473</v>
      </c>
      <c r="I23" s="175"/>
      <c r="J23" s="175"/>
      <c r="K23" s="175"/>
      <c r="L23" s="175"/>
      <c r="M23" s="175"/>
      <c r="N23" s="205">
        <f t="shared" si="1"/>
        <v>3121619</v>
      </c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205">
        <f t="shared" si="2"/>
        <v>0</v>
      </c>
      <c r="AA23" s="175"/>
      <c r="AB23" s="207">
        <f t="shared" si="0"/>
        <v>3121619</v>
      </c>
      <c r="AC23" s="175"/>
      <c r="AD23" s="211">
        <v>832</v>
      </c>
      <c r="AE23" s="169"/>
      <c r="AF23" s="203">
        <f t="shared" si="3"/>
        <v>3751.9459134615386</v>
      </c>
    </row>
    <row r="24" spans="1:33">
      <c r="A24" s="283" t="str">
        <f>'FY14 vs. ceiling by LEA'!A59</f>
        <v>Hospitality PCS</v>
      </c>
      <c r="B24" s="205"/>
      <c r="C24" s="205">
        <v>147716</v>
      </c>
      <c r="D24" s="205"/>
      <c r="E24" s="205"/>
      <c r="F24" s="205"/>
      <c r="G24" s="205"/>
      <c r="H24" s="205">
        <v>433039</v>
      </c>
      <c r="I24" s="205"/>
      <c r="J24" s="205"/>
      <c r="K24" s="205"/>
      <c r="L24" s="205">
        <v>29481</v>
      </c>
      <c r="M24" s="205"/>
      <c r="N24" s="205">
        <f t="shared" si="1"/>
        <v>610236</v>
      </c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>
        <f t="shared" si="2"/>
        <v>0</v>
      </c>
      <c r="AA24" s="205"/>
      <c r="AB24" s="205">
        <f t="shared" si="0"/>
        <v>610236</v>
      </c>
      <c r="AC24" s="205"/>
      <c r="AD24" s="220">
        <v>196</v>
      </c>
      <c r="AE24" s="220"/>
      <c r="AF24" s="221">
        <f t="shared" si="3"/>
        <v>3113.4489795918366</v>
      </c>
    </row>
    <row r="25" spans="1:33">
      <c r="A25" s="235" t="str">
        <f>'FY14 vs. ceiling by LEA'!A60</f>
        <v>Howard Road Academy PCS</v>
      </c>
      <c r="B25" s="175">
        <v>51980</v>
      </c>
      <c r="C25" s="175">
        <v>34641</v>
      </c>
      <c r="D25" s="175">
        <v>265169</v>
      </c>
      <c r="E25" s="175"/>
      <c r="F25" s="175"/>
      <c r="G25" s="175">
        <v>8978</v>
      </c>
      <c r="H25" s="175"/>
      <c r="I25" s="175"/>
      <c r="J25" s="175"/>
      <c r="K25" s="175"/>
      <c r="L25" s="175">
        <v>18953</v>
      </c>
      <c r="M25" s="175"/>
      <c r="N25" s="205">
        <f t="shared" si="1"/>
        <v>379721</v>
      </c>
      <c r="O25" s="175"/>
      <c r="P25" s="175">
        <v>163435</v>
      </c>
      <c r="Q25" s="175">
        <v>121264</v>
      </c>
      <c r="R25" s="175"/>
      <c r="S25" s="175">
        <v>37953</v>
      </c>
      <c r="T25" s="175">
        <v>202411</v>
      </c>
      <c r="U25" s="175">
        <v>348135</v>
      </c>
      <c r="V25" s="175">
        <v>348333</v>
      </c>
      <c r="W25" s="175">
        <v>35009</v>
      </c>
      <c r="X25" s="175">
        <v>90781</v>
      </c>
      <c r="Y25" s="175">
        <v>218171</v>
      </c>
      <c r="Z25" s="205">
        <f t="shared" si="2"/>
        <v>1565492</v>
      </c>
      <c r="AA25" s="175"/>
      <c r="AB25" s="207">
        <f t="shared" si="0"/>
        <v>1945213</v>
      </c>
      <c r="AC25" s="175"/>
      <c r="AD25" s="210">
        <v>805</v>
      </c>
      <c r="AE25" s="169"/>
      <c r="AF25" s="203">
        <f t="shared" si="3"/>
        <v>2416.4136645962731</v>
      </c>
      <c r="AG25" s="194" t="s">
        <v>621</v>
      </c>
    </row>
    <row r="26" spans="1:33" ht="24">
      <c r="A26" s="283" t="str">
        <f>'FY14 vs. ceiling by LEA'!A63</f>
        <v>Howard University Middle School of Math and Science PCS</v>
      </c>
      <c r="B26" s="205">
        <v>42000</v>
      </c>
      <c r="C26" s="205">
        <v>12253</v>
      </c>
      <c r="D26" s="205">
        <v>1009000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>
        <f t="shared" si="1"/>
        <v>1063253</v>
      </c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>
        <f t="shared" si="2"/>
        <v>0</v>
      </c>
      <c r="AA26" s="205"/>
      <c r="AB26" s="205">
        <f t="shared" si="0"/>
        <v>1063253</v>
      </c>
      <c r="AC26" s="205"/>
      <c r="AD26" s="220">
        <v>307</v>
      </c>
      <c r="AE26" s="220"/>
      <c r="AF26" s="221">
        <f t="shared" si="3"/>
        <v>3463.3648208469053</v>
      </c>
    </row>
    <row r="27" spans="1:33" ht="24">
      <c r="A27" s="235" t="str">
        <f>'FY14 vs. ceiling by LEA'!A68</f>
        <v>Integrated Design Electronics Academy (IDEA) PCS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205">
        <f t="shared" si="1"/>
        <v>0</v>
      </c>
      <c r="O27" s="175"/>
      <c r="P27" s="175">
        <v>184810</v>
      </c>
      <c r="Q27" s="175">
        <v>429676</v>
      </c>
      <c r="R27" s="175">
        <v>0</v>
      </c>
      <c r="S27" s="175">
        <v>0</v>
      </c>
      <c r="T27" s="175">
        <v>157068</v>
      </c>
      <c r="U27" s="175">
        <v>356564</v>
      </c>
      <c r="V27" s="175">
        <v>0</v>
      </c>
      <c r="W27" s="175">
        <v>0</v>
      </c>
      <c r="X27" s="175">
        <v>0</v>
      </c>
      <c r="Y27" s="175">
        <v>0</v>
      </c>
      <c r="Z27" s="205">
        <f t="shared" si="2"/>
        <v>1128118</v>
      </c>
      <c r="AA27" s="175"/>
      <c r="AB27" s="207">
        <f t="shared" si="0"/>
        <v>1128118</v>
      </c>
      <c r="AC27" s="175"/>
      <c r="AD27" s="210">
        <v>359</v>
      </c>
      <c r="AE27" s="169"/>
      <c r="AF27" s="203">
        <f t="shared" si="3"/>
        <v>3142.389972144847</v>
      </c>
    </row>
    <row r="28" spans="1:33">
      <c r="A28" s="219" t="str">
        <f>'FY14 vs. ceiling by LEA'!A64</f>
        <v>Ideal Academy PCS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>
        <f t="shared" si="1"/>
        <v>0</v>
      </c>
      <c r="O28" s="205"/>
      <c r="P28" s="205"/>
      <c r="Q28" s="205" t="s">
        <v>146</v>
      </c>
      <c r="R28" s="205">
        <v>0</v>
      </c>
      <c r="S28" s="205"/>
      <c r="T28" s="205"/>
      <c r="U28" s="205"/>
      <c r="V28" s="205"/>
      <c r="W28" s="205"/>
      <c r="X28" s="205"/>
      <c r="Y28" s="205"/>
      <c r="Z28" s="205">
        <f t="shared" si="2"/>
        <v>0</v>
      </c>
      <c r="AA28" s="205"/>
      <c r="AB28" s="205">
        <f t="shared" si="0"/>
        <v>0</v>
      </c>
      <c r="AC28" s="205"/>
      <c r="AD28" s="220">
        <v>0</v>
      </c>
      <c r="AE28" s="220"/>
      <c r="AF28" s="221" t="s">
        <v>45</v>
      </c>
    </row>
    <row r="29" spans="1:33">
      <c r="A29" s="235" t="str">
        <f>'FY14 vs. ceiling by LEA'!A65</f>
        <v>Imagine Southeast PCS</v>
      </c>
      <c r="B29" s="175">
        <v>142771</v>
      </c>
      <c r="C29" s="175">
        <v>138589</v>
      </c>
      <c r="D29" s="175">
        <v>1373000</v>
      </c>
      <c r="E29" s="175">
        <v>0</v>
      </c>
      <c r="F29" s="175">
        <v>0</v>
      </c>
      <c r="G29" s="175">
        <v>33524</v>
      </c>
      <c r="H29" s="175">
        <v>0</v>
      </c>
      <c r="I29" s="175">
        <v>0</v>
      </c>
      <c r="J29" s="175"/>
      <c r="K29" s="175">
        <v>0</v>
      </c>
      <c r="L29" s="175">
        <v>26981</v>
      </c>
      <c r="M29" s="175"/>
      <c r="N29" s="205">
        <f t="shared" si="1"/>
        <v>1714865</v>
      </c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205">
        <f t="shared" si="2"/>
        <v>0</v>
      </c>
      <c r="AA29" s="175"/>
      <c r="AB29" s="207">
        <f t="shared" si="0"/>
        <v>1714865</v>
      </c>
      <c r="AC29" s="175"/>
      <c r="AD29" s="210">
        <v>553</v>
      </c>
      <c r="AE29" s="169"/>
      <c r="AF29" s="203">
        <f t="shared" si="3"/>
        <v>3101.0216998191681</v>
      </c>
    </row>
    <row r="30" spans="1:33">
      <c r="A30" s="283" t="str">
        <f>'FY14 vs. ceiling by LEA'!A67</f>
        <v>Inspired Teaching Demonstration PCS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>
        <f t="shared" si="1"/>
        <v>0</v>
      </c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>
        <f t="shared" si="2"/>
        <v>0</v>
      </c>
      <c r="AA30" s="205"/>
      <c r="AB30" s="205">
        <f t="shared" si="0"/>
        <v>0</v>
      </c>
      <c r="AC30" s="205"/>
      <c r="AD30" s="222">
        <v>0</v>
      </c>
      <c r="AE30" s="220"/>
      <c r="AF30" s="221" t="s">
        <v>45</v>
      </c>
    </row>
    <row r="31" spans="1:33">
      <c r="A31" s="235" t="str">
        <f>'FY14 vs. ceiling by LEA'!A69</f>
        <v>KIPP DC PCS</v>
      </c>
      <c r="B31" s="175">
        <v>358887</v>
      </c>
      <c r="C31" s="175">
        <v>124089</v>
      </c>
      <c r="D31" s="175">
        <v>643932</v>
      </c>
      <c r="E31" s="175">
        <v>0</v>
      </c>
      <c r="F31" s="175">
        <v>0</v>
      </c>
      <c r="G31" s="175">
        <v>41388</v>
      </c>
      <c r="H31" s="175">
        <v>1163087</v>
      </c>
      <c r="I31" s="175">
        <v>1467547</v>
      </c>
      <c r="J31" s="175">
        <v>315000</v>
      </c>
      <c r="K31" s="175">
        <v>152329</v>
      </c>
      <c r="L31" s="175">
        <v>177846</v>
      </c>
      <c r="M31" s="175"/>
      <c r="N31" s="205">
        <f t="shared" si="1"/>
        <v>4444105</v>
      </c>
      <c r="O31" s="175"/>
      <c r="P31" s="175">
        <v>243486</v>
      </c>
      <c r="Q31" s="175">
        <v>103272</v>
      </c>
      <c r="R31" s="175">
        <v>12545</v>
      </c>
      <c r="S31" s="175">
        <v>14745</v>
      </c>
      <c r="T31" s="175">
        <v>883342</v>
      </c>
      <c r="U31" s="175">
        <v>297852</v>
      </c>
      <c r="V31" s="175">
        <v>553487</v>
      </c>
      <c r="W31" s="175">
        <v>298030</v>
      </c>
      <c r="X31" s="175">
        <v>14092</v>
      </c>
      <c r="Y31" s="175"/>
      <c r="Z31" s="205">
        <f t="shared" si="2"/>
        <v>2420851</v>
      </c>
      <c r="AA31" s="175"/>
      <c r="AB31" s="207">
        <f t="shared" si="0"/>
        <v>6864956</v>
      </c>
      <c r="AC31" s="175"/>
      <c r="AD31" s="211">
        <v>2632</v>
      </c>
      <c r="AE31" s="169"/>
      <c r="AF31" s="203">
        <f t="shared" ref="AF31:AF42" si="4">AB31/AD31</f>
        <v>2608.2659574468084</v>
      </c>
      <c r="AG31" s="194" t="s">
        <v>621</v>
      </c>
    </row>
    <row r="32" spans="1:33">
      <c r="A32" s="283" t="str">
        <f>'FY14 vs. ceiling by LEA'!A82</f>
        <v>Latin American Montessori Bilingual (LAMB) PCS</v>
      </c>
      <c r="B32" s="205">
        <v>0</v>
      </c>
      <c r="C32" s="205">
        <v>0</v>
      </c>
      <c r="D32" s="205">
        <v>142200</v>
      </c>
      <c r="E32" s="205">
        <v>0</v>
      </c>
      <c r="F32" s="205">
        <v>0</v>
      </c>
      <c r="G32" s="205"/>
      <c r="H32" s="205">
        <v>0</v>
      </c>
      <c r="I32" s="205">
        <v>0</v>
      </c>
      <c r="J32" s="205">
        <v>0</v>
      </c>
      <c r="K32" s="205">
        <v>0</v>
      </c>
      <c r="L32" s="205"/>
      <c r="M32" s="205"/>
      <c r="N32" s="205">
        <f t="shared" si="1"/>
        <v>142200</v>
      </c>
      <c r="O32" s="205"/>
      <c r="P32" s="205">
        <v>53098</v>
      </c>
      <c r="Q32" s="205">
        <v>143752</v>
      </c>
      <c r="R32" s="205"/>
      <c r="S32" s="205">
        <v>15779</v>
      </c>
      <c r="T32" s="205">
        <v>237695</v>
      </c>
      <c r="U32" s="205">
        <v>415105</v>
      </c>
      <c r="V32" s="205">
        <v>108494</v>
      </c>
      <c r="W32" s="205">
        <v>37812</v>
      </c>
      <c r="X32" s="205"/>
      <c r="Y32" s="205"/>
      <c r="Z32" s="205">
        <f t="shared" si="2"/>
        <v>1011735</v>
      </c>
      <c r="AA32" s="205"/>
      <c r="AB32" s="205">
        <f t="shared" si="0"/>
        <v>1153935</v>
      </c>
      <c r="AC32" s="205"/>
      <c r="AD32" s="220">
        <v>263</v>
      </c>
      <c r="AE32" s="220"/>
      <c r="AF32" s="221">
        <f t="shared" si="4"/>
        <v>4387.5855513307988</v>
      </c>
    </row>
    <row r="33" spans="1:32">
      <c r="A33" s="235" t="str">
        <f>'FY14 vs. ceiling by LEA'!A84</f>
        <v>Mary McLeod Bethune Day Academy PCS</v>
      </c>
      <c r="B33" s="175">
        <v>36963</v>
      </c>
      <c r="C33" s="175">
        <v>323834</v>
      </c>
      <c r="D33" s="175">
        <v>162430</v>
      </c>
      <c r="E33" s="175">
        <v>0</v>
      </c>
      <c r="F33" s="175">
        <v>0</v>
      </c>
      <c r="G33" s="175">
        <v>0</v>
      </c>
      <c r="H33" s="175">
        <v>16786</v>
      </c>
      <c r="I33" s="175"/>
      <c r="J33" s="175"/>
      <c r="K33" s="175"/>
      <c r="L33" s="175">
        <v>84853</v>
      </c>
      <c r="M33" s="175"/>
      <c r="N33" s="205">
        <f t="shared" si="1"/>
        <v>624866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205">
        <f t="shared" si="2"/>
        <v>0</v>
      </c>
      <c r="AA33" s="175"/>
      <c r="AB33" s="207">
        <f t="shared" si="0"/>
        <v>624866</v>
      </c>
      <c r="AC33" s="175"/>
      <c r="AD33" s="210">
        <v>327</v>
      </c>
      <c r="AE33" s="169"/>
      <c r="AF33" s="203">
        <f t="shared" si="4"/>
        <v>1910.9051987767584</v>
      </c>
    </row>
    <row r="34" spans="1:32">
      <c r="A34" s="283" t="str">
        <f>'FY14 vs. ceiling by LEA'!A85</f>
        <v>Maya Angelou PCS</v>
      </c>
      <c r="B34" s="205">
        <v>365006</v>
      </c>
      <c r="C34" s="205">
        <v>56234</v>
      </c>
      <c r="D34" s="205">
        <v>226291</v>
      </c>
      <c r="E34" s="205">
        <v>0</v>
      </c>
      <c r="F34" s="205">
        <v>0</v>
      </c>
      <c r="G34" s="205">
        <v>0</v>
      </c>
      <c r="H34" s="205">
        <v>32407</v>
      </c>
      <c r="I34" s="205"/>
      <c r="J34" s="205"/>
      <c r="K34" s="205"/>
      <c r="L34" s="205"/>
      <c r="M34" s="205"/>
      <c r="N34" s="205">
        <f t="shared" si="1"/>
        <v>679938</v>
      </c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>
        <f t="shared" si="2"/>
        <v>0</v>
      </c>
      <c r="AA34" s="205"/>
      <c r="AB34" s="205">
        <f t="shared" si="0"/>
        <v>679938</v>
      </c>
      <c r="AC34" s="205"/>
      <c r="AD34" s="220">
        <v>506</v>
      </c>
      <c r="AE34" s="220"/>
      <c r="AF34" s="221">
        <f t="shared" si="4"/>
        <v>1343.7509881422925</v>
      </c>
    </row>
    <row r="35" spans="1:32">
      <c r="A35" s="235" t="str">
        <f>'FY14 vs. ceiling by LEA'!A89</f>
        <v>Mundo Verde Bilingual PCS</v>
      </c>
      <c r="B35" s="175">
        <v>0</v>
      </c>
      <c r="C35" s="175">
        <v>287</v>
      </c>
      <c r="D35" s="175">
        <v>292996</v>
      </c>
      <c r="E35" s="175">
        <v>0</v>
      </c>
      <c r="F35" s="175">
        <v>0</v>
      </c>
      <c r="G35" s="175">
        <v>0</v>
      </c>
      <c r="H35" s="175">
        <v>0</v>
      </c>
      <c r="I35" s="175"/>
      <c r="J35" s="175"/>
      <c r="K35" s="175"/>
      <c r="L35" s="175"/>
      <c r="M35" s="175"/>
      <c r="N35" s="205">
        <f t="shared" si="1"/>
        <v>293283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205">
        <f t="shared" si="2"/>
        <v>0</v>
      </c>
      <c r="AA35" s="175"/>
      <c r="AB35" s="207">
        <f t="shared" si="0"/>
        <v>293283</v>
      </c>
      <c r="AC35" s="175"/>
      <c r="AD35" s="210">
        <v>122</v>
      </c>
      <c r="AE35" s="169"/>
      <c r="AF35" s="203">
        <f t="shared" si="4"/>
        <v>2403.9590163934427</v>
      </c>
    </row>
    <row r="36" spans="1:32">
      <c r="A36" s="219" t="str">
        <f>'FY14 vs. ceiling by LEA'!A88</f>
        <v>Meridian PCS</v>
      </c>
      <c r="B36" s="205">
        <v>0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f t="shared" si="1"/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f t="shared" si="2"/>
        <v>0</v>
      </c>
      <c r="AA36" s="205">
        <v>0</v>
      </c>
      <c r="AB36" s="205">
        <f t="shared" si="0"/>
        <v>0</v>
      </c>
      <c r="AC36" s="205"/>
      <c r="AD36" s="220">
        <v>531</v>
      </c>
      <c r="AE36" s="220"/>
      <c r="AF36" s="221">
        <f t="shared" si="4"/>
        <v>0</v>
      </c>
    </row>
    <row r="37" spans="1:32">
      <c r="A37" s="235" t="str">
        <f>'FY14 vs. ceiling by LEA'!A90</f>
        <v>National Collegiate Preparatory PCS</v>
      </c>
      <c r="B37" s="175">
        <v>0</v>
      </c>
      <c r="C37" s="175">
        <v>0</v>
      </c>
      <c r="D37" s="175">
        <v>568558</v>
      </c>
      <c r="E37" s="175"/>
      <c r="F37" s="175"/>
      <c r="G37" s="175"/>
      <c r="H37" s="175"/>
      <c r="I37" s="175"/>
      <c r="J37" s="175"/>
      <c r="K37" s="175"/>
      <c r="L37" s="175"/>
      <c r="M37" s="175"/>
      <c r="N37" s="205">
        <f t="shared" si="1"/>
        <v>568558</v>
      </c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205">
        <f t="shared" si="2"/>
        <v>0</v>
      </c>
      <c r="AA37" s="175"/>
      <c r="AB37" s="207">
        <f t="shared" si="0"/>
        <v>568558</v>
      </c>
      <c r="AC37" s="175"/>
      <c r="AD37" s="210">
        <v>203</v>
      </c>
      <c r="AE37" s="169"/>
      <c r="AF37" s="203">
        <f t="shared" si="4"/>
        <v>2800.7783251231526</v>
      </c>
    </row>
    <row r="38" spans="1:32">
      <c r="A38" s="283" t="str">
        <f>'FY14 vs. ceiling by LEA'!A103</f>
        <v>The Next Step PCS</v>
      </c>
      <c r="B38" s="205">
        <v>0</v>
      </c>
      <c r="C38" s="205">
        <v>9485</v>
      </c>
      <c r="D38" s="205">
        <v>141528</v>
      </c>
      <c r="E38" s="205"/>
      <c r="F38" s="205"/>
      <c r="G38" s="205">
        <v>24938</v>
      </c>
      <c r="H38" s="205">
        <v>65658</v>
      </c>
      <c r="I38" s="205"/>
      <c r="J38" s="205"/>
      <c r="K38" s="205"/>
      <c r="L38" s="205"/>
      <c r="M38" s="205"/>
      <c r="N38" s="205">
        <f t="shared" si="1"/>
        <v>241609</v>
      </c>
      <c r="O38" s="205"/>
      <c r="P38" s="205"/>
      <c r="Q38" s="205"/>
      <c r="R38" s="205"/>
      <c r="S38" s="205"/>
      <c r="T38" s="205"/>
      <c r="U38" s="205">
        <v>179139</v>
      </c>
      <c r="V38" s="205">
        <v>142746</v>
      </c>
      <c r="W38" s="205">
        <v>385967</v>
      </c>
      <c r="X38" s="205"/>
      <c r="Y38" s="205">
        <v>312235</v>
      </c>
      <c r="Z38" s="205">
        <f t="shared" si="2"/>
        <v>1020087</v>
      </c>
      <c r="AA38" s="205"/>
      <c r="AB38" s="205">
        <f t="shared" si="0"/>
        <v>1261696</v>
      </c>
      <c r="AC38" s="205"/>
      <c r="AD38" s="222">
        <v>158</v>
      </c>
      <c r="AE38" s="220"/>
      <c r="AF38" s="221">
        <f t="shared" si="4"/>
        <v>7985.4177215189875</v>
      </c>
    </row>
    <row r="39" spans="1:32">
      <c r="A39" s="235" t="str">
        <f>'FY14 vs. ceiling by LEA'!A91</f>
        <v>Options PCS</v>
      </c>
      <c r="B39" s="175">
        <v>0</v>
      </c>
      <c r="C39" s="175">
        <v>0</v>
      </c>
      <c r="D39" s="175">
        <v>160600</v>
      </c>
      <c r="E39" s="175"/>
      <c r="F39" s="175"/>
      <c r="G39" s="175"/>
      <c r="H39" s="175">
        <v>18506</v>
      </c>
      <c r="I39" s="175"/>
      <c r="J39" s="175"/>
      <c r="K39" s="175"/>
      <c r="L39" s="175"/>
      <c r="M39" s="175"/>
      <c r="N39" s="205">
        <f t="shared" si="1"/>
        <v>179106</v>
      </c>
      <c r="O39" s="175"/>
      <c r="P39" s="175">
        <v>154285</v>
      </c>
      <c r="Q39" s="175">
        <v>212981</v>
      </c>
      <c r="R39" s="175"/>
      <c r="S39" s="175">
        <v>94192</v>
      </c>
      <c r="T39" s="175">
        <v>421104</v>
      </c>
      <c r="U39" s="175">
        <v>194820</v>
      </c>
      <c r="V39" s="175">
        <v>164975</v>
      </c>
      <c r="W39" s="175">
        <v>0</v>
      </c>
      <c r="X39" s="175">
        <v>212981</v>
      </c>
      <c r="Y39" s="175"/>
      <c r="Z39" s="205">
        <f t="shared" si="2"/>
        <v>1455338</v>
      </c>
      <c r="AA39" s="175"/>
      <c r="AB39" s="207">
        <f t="shared" si="0"/>
        <v>1634444</v>
      </c>
      <c r="AC39" s="175"/>
      <c r="AD39" s="211">
        <v>359</v>
      </c>
      <c r="AE39" s="169"/>
      <c r="AF39" s="203">
        <f t="shared" si="4"/>
        <v>4552.7688022284119</v>
      </c>
    </row>
    <row r="40" spans="1:32">
      <c r="A40" s="283" t="str">
        <f>'FY14 vs. ceiling by LEA'!A92</f>
        <v>Paul PCS</v>
      </c>
      <c r="B40" s="205">
        <v>216422</v>
      </c>
      <c r="C40" s="205">
        <v>474252</v>
      </c>
      <c r="D40" s="205">
        <v>503000</v>
      </c>
      <c r="E40" s="205"/>
      <c r="F40" s="205"/>
      <c r="G40" s="205"/>
      <c r="H40" s="205"/>
      <c r="I40" s="205"/>
      <c r="J40" s="205"/>
      <c r="K40" s="205"/>
      <c r="L40" s="205">
        <v>422748</v>
      </c>
      <c r="M40" s="205" t="s">
        <v>35</v>
      </c>
      <c r="N40" s="205">
        <f t="shared" si="1"/>
        <v>1616422</v>
      </c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>
        <f t="shared" si="2"/>
        <v>0</v>
      </c>
      <c r="AA40" s="205"/>
      <c r="AB40" s="205">
        <f t="shared" si="0"/>
        <v>1616422</v>
      </c>
      <c r="AC40" s="205"/>
      <c r="AD40" s="220">
        <v>592</v>
      </c>
      <c r="AE40" s="220"/>
      <c r="AF40" s="221">
        <f t="shared" si="4"/>
        <v>2730.4425675675675</v>
      </c>
    </row>
    <row r="41" spans="1:32">
      <c r="A41" s="235" t="str">
        <f>'FY14 vs. ceiling by LEA'!A93</f>
        <v>Perry Street Prep PCS</v>
      </c>
      <c r="B41" s="175">
        <v>594672</v>
      </c>
      <c r="C41" s="175">
        <v>535521</v>
      </c>
      <c r="D41" s="175">
        <v>0</v>
      </c>
      <c r="E41" s="175">
        <v>473123</v>
      </c>
      <c r="F41" s="175">
        <v>4225</v>
      </c>
      <c r="G41" s="175">
        <v>122881</v>
      </c>
      <c r="H41" s="175">
        <v>518733</v>
      </c>
      <c r="I41" s="175">
        <v>260216</v>
      </c>
      <c r="J41" s="175">
        <v>20878</v>
      </c>
      <c r="K41" s="175">
        <v>0</v>
      </c>
      <c r="L41" s="175">
        <v>0</v>
      </c>
      <c r="M41" s="175">
        <v>810160</v>
      </c>
      <c r="N41" s="205">
        <f t="shared" si="1"/>
        <v>3340409</v>
      </c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205">
        <f t="shared" si="2"/>
        <v>0</v>
      </c>
      <c r="AA41" s="175"/>
      <c r="AB41" s="207">
        <f t="shared" si="0"/>
        <v>3340409</v>
      </c>
      <c r="AC41" s="175"/>
      <c r="AD41" s="210">
        <v>936</v>
      </c>
      <c r="AE41" s="169"/>
      <c r="AF41" s="203">
        <f t="shared" si="4"/>
        <v>3568.8130341880342</v>
      </c>
    </row>
    <row r="42" spans="1:32">
      <c r="A42" s="283" t="str">
        <f>'FY14 vs. ceiling by LEA'!A94</f>
        <v>Potomac Lighthouse PCS</v>
      </c>
      <c r="B42" s="205">
        <v>16399</v>
      </c>
      <c r="C42" s="205">
        <v>103263</v>
      </c>
      <c r="D42" s="205">
        <v>579887</v>
      </c>
      <c r="E42" s="205">
        <v>97655</v>
      </c>
      <c r="F42" s="205"/>
      <c r="G42" s="205">
        <v>10000</v>
      </c>
      <c r="H42" s="205"/>
      <c r="I42" s="205"/>
      <c r="J42" s="205">
        <v>77870</v>
      </c>
      <c r="K42" s="205"/>
      <c r="L42" s="205"/>
      <c r="M42" s="205">
        <v>12500</v>
      </c>
      <c r="N42" s="205">
        <f t="shared" si="1"/>
        <v>897574</v>
      </c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>
        <f t="shared" si="2"/>
        <v>0</v>
      </c>
      <c r="AA42" s="205"/>
      <c r="AB42" s="205">
        <f t="shared" si="0"/>
        <v>897574</v>
      </c>
      <c r="AC42" s="205"/>
      <c r="AD42" s="220">
        <v>328</v>
      </c>
      <c r="AE42" s="220"/>
      <c r="AF42" s="221">
        <f t="shared" si="4"/>
        <v>2736.5060975609758</v>
      </c>
    </row>
    <row r="43" spans="1:32">
      <c r="A43" s="235" t="str">
        <f>'FY14 vs. ceiling by LEA'!A95</f>
        <v>Richard Wright PCS for Journalism and Media Arts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205">
        <f t="shared" si="1"/>
        <v>0</v>
      </c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205">
        <f t="shared" si="2"/>
        <v>0</v>
      </c>
      <c r="AA43" s="175"/>
      <c r="AB43" s="207">
        <f t="shared" si="0"/>
        <v>0</v>
      </c>
      <c r="AC43" s="175"/>
      <c r="AD43" s="210">
        <v>0</v>
      </c>
      <c r="AE43" s="169"/>
      <c r="AF43" s="203" t="s">
        <v>45</v>
      </c>
    </row>
    <row r="44" spans="1:32">
      <c r="A44" s="219" t="str">
        <f>'FY14 vs. ceiling by LEA'!A96</f>
        <v>Roots PCS</v>
      </c>
      <c r="B44" s="205">
        <v>18835</v>
      </c>
      <c r="C44" s="205">
        <v>39132</v>
      </c>
      <c r="D44" s="205">
        <v>273568</v>
      </c>
      <c r="E44" s="205"/>
      <c r="F44" s="205"/>
      <c r="G44" s="205">
        <v>3364</v>
      </c>
      <c r="H44" s="205">
        <v>22273</v>
      </c>
      <c r="I44" s="205"/>
      <c r="J44" s="205"/>
      <c r="K44" s="205"/>
      <c r="L44" s="205"/>
      <c r="M44" s="205"/>
      <c r="N44" s="205">
        <f t="shared" si="1"/>
        <v>357172</v>
      </c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>
        <f t="shared" si="2"/>
        <v>0</v>
      </c>
      <c r="AA44" s="205"/>
      <c r="AB44" s="205">
        <f t="shared" si="0"/>
        <v>357172</v>
      </c>
      <c r="AC44" s="205"/>
      <c r="AD44" s="220">
        <v>120</v>
      </c>
      <c r="AE44" s="220"/>
      <c r="AF44" s="221">
        <f t="shared" ref="AF44:AF55" si="5">AB44/AD44</f>
        <v>2976.4333333333334</v>
      </c>
    </row>
    <row r="45" spans="1:32" ht="24">
      <c r="A45" s="235" t="str">
        <f>'FY14 vs. ceiling by LEA'!A97</f>
        <v>School for Educational Evolution and Development (SEED) PCS</v>
      </c>
      <c r="B45" s="175">
        <v>0</v>
      </c>
      <c r="C45" s="175">
        <v>0</v>
      </c>
      <c r="D45" s="175">
        <v>0</v>
      </c>
      <c r="E45" s="175">
        <v>0</v>
      </c>
      <c r="F45" s="175"/>
      <c r="G45" s="175">
        <v>0</v>
      </c>
      <c r="H45" s="175">
        <v>0</v>
      </c>
      <c r="I45" s="175"/>
      <c r="J45" s="175"/>
      <c r="K45" s="175"/>
      <c r="L45" s="175"/>
      <c r="M45" s="175"/>
      <c r="N45" s="205">
        <f t="shared" si="1"/>
        <v>0</v>
      </c>
      <c r="O45" s="175"/>
      <c r="P45" s="175">
        <v>323424</v>
      </c>
      <c r="Q45" s="175">
        <v>288219</v>
      </c>
      <c r="R45" s="175">
        <v>12000</v>
      </c>
      <c r="S45" s="175">
        <v>44964</v>
      </c>
      <c r="T45" s="175">
        <v>891260</v>
      </c>
      <c r="U45" s="175">
        <v>215349</v>
      </c>
      <c r="V45" s="175">
        <v>710000</v>
      </c>
      <c r="W45" s="175">
        <v>35012</v>
      </c>
      <c r="X45" s="175">
        <v>300478</v>
      </c>
      <c r="Y45" s="175">
        <v>200000</v>
      </c>
      <c r="Z45" s="205">
        <f t="shared" si="2"/>
        <v>3020706</v>
      </c>
      <c r="AA45" s="175"/>
      <c r="AB45" s="207">
        <f t="shared" si="0"/>
        <v>3020706</v>
      </c>
      <c r="AC45" s="175"/>
      <c r="AD45" s="210">
        <v>340</v>
      </c>
      <c r="AE45" s="169"/>
      <c r="AF45" s="203">
        <f t="shared" si="5"/>
        <v>8884.4294117647059</v>
      </c>
    </row>
    <row r="46" spans="1:32">
      <c r="A46" s="283" t="s">
        <v>421</v>
      </c>
      <c r="B46" s="205">
        <v>0</v>
      </c>
      <c r="C46" s="205">
        <v>62168</v>
      </c>
      <c r="D46" s="205">
        <v>618300</v>
      </c>
      <c r="E46" s="205"/>
      <c r="F46" s="205"/>
      <c r="G46" s="205">
        <v>0</v>
      </c>
      <c r="H46" s="205">
        <v>0</v>
      </c>
      <c r="I46" s="205"/>
      <c r="J46" s="205"/>
      <c r="K46" s="205"/>
      <c r="L46" s="205"/>
      <c r="M46" s="205"/>
      <c r="N46" s="205">
        <f t="shared" si="1"/>
        <v>680468</v>
      </c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>
        <f t="shared" si="2"/>
        <v>0</v>
      </c>
      <c r="AA46" s="205"/>
      <c r="AB46" s="205">
        <f t="shared" si="0"/>
        <v>680468</v>
      </c>
      <c r="AC46" s="205"/>
      <c r="AD46" s="222">
        <v>227</v>
      </c>
      <c r="AE46" s="220"/>
      <c r="AF46" s="221">
        <f t="shared" si="5"/>
        <v>2997.6563876651981</v>
      </c>
    </row>
    <row r="47" spans="1:32" s="194" customFormat="1">
      <c r="A47" s="235" t="str">
        <f>'FY14 vs. ceiling by LEA'!A100</f>
        <v>Shining Stars Montessori PCS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205">
        <f t="shared" si="1"/>
        <v>0</v>
      </c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205">
        <f t="shared" si="2"/>
        <v>0</v>
      </c>
      <c r="AA47" s="175"/>
      <c r="AB47" s="207"/>
      <c r="AC47" s="175"/>
      <c r="AD47" s="211">
        <v>0</v>
      </c>
      <c r="AE47" s="169"/>
      <c r="AF47" s="203" t="s">
        <v>45</v>
      </c>
    </row>
    <row r="48" spans="1:32">
      <c r="A48" s="283" t="str">
        <f>'FY14 vs. ceiling by LEA'!A102</f>
        <v>St. Coletta Special Education PCS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>
        <f t="shared" si="1"/>
        <v>0</v>
      </c>
      <c r="O48" s="205"/>
      <c r="P48" s="205">
        <v>256075</v>
      </c>
      <c r="Q48" s="205">
        <v>521898</v>
      </c>
      <c r="R48" s="205">
        <v>0</v>
      </c>
      <c r="S48" s="205">
        <v>59060</v>
      </c>
      <c r="T48" s="205">
        <v>1193453</v>
      </c>
      <c r="U48" s="205">
        <v>545585</v>
      </c>
      <c r="V48" s="205">
        <v>305850</v>
      </c>
      <c r="W48" s="205">
        <v>856400</v>
      </c>
      <c r="X48" s="205">
        <v>57991</v>
      </c>
      <c r="Y48" s="205">
        <v>0</v>
      </c>
      <c r="Z48" s="205">
        <f t="shared" si="2"/>
        <v>3796312</v>
      </c>
      <c r="AA48" s="205">
        <v>3122863.4699999997</v>
      </c>
      <c r="AB48" s="205">
        <f t="shared" si="0"/>
        <v>3796312</v>
      </c>
      <c r="AC48" s="205"/>
      <c r="AD48" s="220">
        <v>234</v>
      </c>
      <c r="AE48" s="220"/>
      <c r="AF48" s="221">
        <f t="shared" si="5"/>
        <v>16223.555555555555</v>
      </c>
    </row>
    <row r="49" spans="1:32">
      <c r="A49" s="235" t="str">
        <f>'FY14 vs. ceiling by LEA'!A105</f>
        <v>Thurgood Marshall Academy PCS</v>
      </c>
      <c r="B49" s="175">
        <v>0</v>
      </c>
      <c r="C49" s="175">
        <v>0</v>
      </c>
      <c r="D49" s="175">
        <v>10100</v>
      </c>
      <c r="E49" s="175"/>
      <c r="F49" s="175"/>
      <c r="G49" s="175"/>
      <c r="H49" s="175"/>
      <c r="I49" s="175"/>
      <c r="J49" s="175"/>
      <c r="K49" s="175"/>
      <c r="L49" s="175"/>
      <c r="M49" s="175"/>
      <c r="N49" s="205">
        <f t="shared" si="1"/>
        <v>10100</v>
      </c>
      <c r="O49" s="175"/>
      <c r="P49" s="175">
        <v>135534</v>
      </c>
      <c r="Q49" s="175">
        <v>446018</v>
      </c>
      <c r="R49" s="175"/>
      <c r="S49" s="175">
        <v>39029</v>
      </c>
      <c r="T49" s="175">
        <v>584009</v>
      </c>
      <c r="U49" s="175">
        <v>1190642</v>
      </c>
      <c r="V49" s="175">
        <v>0</v>
      </c>
      <c r="W49" s="175">
        <v>45183</v>
      </c>
      <c r="X49" s="175">
        <v>202544</v>
      </c>
      <c r="Y49" s="175">
        <v>3184579</v>
      </c>
      <c r="Z49" s="205">
        <f t="shared" si="2"/>
        <v>5827538</v>
      </c>
      <c r="AA49" s="175"/>
      <c r="AB49" s="207">
        <f t="shared" si="0"/>
        <v>5837638</v>
      </c>
      <c r="AC49" s="175"/>
      <c r="AD49" s="210">
        <v>390</v>
      </c>
      <c r="AE49" s="169"/>
      <c r="AF49" s="203">
        <f t="shared" si="5"/>
        <v>14968.302564102563</v>
      </c>
    </row>
    <row r="50" spans="1:32">
      <c r="A50" s="283" t="str">
        <f>'FY14 vs. ceiling by LEA'!A106</f>
        <v>Tree of Life PCS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>
        <f t="shared" si="1"/>
        <v>0</v>
      </c>
      <c r="O50" s="205"/>
      <c r="P50" s="205">
        <v>113363</v>
      </c>
      <c r="Q50" s="205">
        <v>199786</v>
      </c>
      <c r="R50" s="205">
        <v>0</v>
      </c>
      <c r="S50" s="205">
        <v>17862</v>
      </c>
      <c r="T50" s="205">
        <v>222997</v>
      </c>
      <c r="U50" s="205">
        <v>270839</v>
      </c>
      <c r="V50" s="205">
        <v>118968</v>
      </c>
      <c r="W50" s="205"/>
      <c r="X50" s="205"/>
      <c r="Y50" s="205"/>
      <c r="Z50" s="205">
        <f t="shared" si="2"/>
        <v>943815</v>
      </c>
      <c r="AA50" s="205"/>
      <c r="AB50" s="205">
        <f t="shared" si="0"/>
        <v>943815</v>
      </c>
      <c r="AC50" s="205"/>
      <c r="AD50" s="220">
        <v>301</v>
      </c>
      <c r="AE50" s="220"/>
      <c r="AF50" s="221">
        <f t="shared" si="5"/>
        <v>3135.5980066445181</v>
      </c>
    </row>
    <row r="51" spans="1:32">
      <c r="A51" s="235" t="str">
        <f>'FY14 vs. ceiling by LEA'!A107</f>
        <v>Two Rivers PCS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205">
        <f t="shared" si="1"/>
        <v>0</v>
      </c>
      <c r="O51" s="175"/>
      <c r="P51" s="175">
        <v>157159</v>
      </c>
      <c r="Q51" s="175">
        <v>293858</v>
      </c>
      <c r="R51" s="175">
        <v>3959</v>
      </c>
      <c r="S51" s="175">
        <v>14315</v>
      </c>
      <c r="T51" s="175">
        <v>458127</v>
      </c>
      <c r="U51" s="175">
        <v>734962</v>
      </c>
      <c r="V51" s="175">
        <v>81871</v>
      </c>
      <c r="W51" s="175"/>
      <c r="X51" s="175">
        <v>37300</v>
      </c>
      <c r="Y51" s="175">
        <v>163367</v>
      </c>
      <c r="Z51" s="205">
        <f t="shared" si="2"/>
        <v>1944918</v>
      </c>
      <c r="AA51" s="175"/>
      <c r="AB51" s="207">
        <f t="shared" si="0"/>
        <v>1944918</v>
      </c>
      <c r="AC51" s="175"/>
      <c r="AD51" s="210">
        <v>0</v>
      </c>
      <c r="AE51" s="169"/>
      <c r="AF51" s="203" t="s">
        <v>45</v>
      </c>
    </row>
    <row r="52" spans="1:32">
      <c r="A52" s="284" t="str">
        <f>'FY14 vs. ceiling by LEA'!A109</f>
        <v xml:space="preserve">Washington Latin PCS </v>
      </c>
      <c r="B52" s="163">
        <v>86840</v>
      </c>
      <c r="C52" s="163">
        <v>35952</v>
      </c>
      <c r="D52" s="163">
        <v>940813</v>
      </c>
      <c r="E52" s="163"/>
      <c r="F52" s="163"/>
      <c r="G52" s="163"/>
      <c r="H52" s="163">
        <v>179353</v>
      </c>
      <c r="I52" s="163">
        <v>2917</v>
      </c>
      <c r="J52" s="163">
        <v>250000</v>
      </c>
      <c r="K52" s="163"/>
      <c r="L52" s="163"/>
      <c r="M52" s="163"/>
      <c r="N52" s="205">
        <f t="shared" si="1"/>
        <v>1495875</v>
      </c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205">
        <f t="shared" si="2"/>
        <v>0</v>
      </c>
      <c r="AA52" s="163"/>
      <c r="AB52" s="163">
        <f t="shared" si="0"/>
        <v>1495875</v>
      </c>
      <c r="AC52" s="225"/>
      <c r="AD52" s="226">
        <v>574</v>
      </c>
      <c r="AE52" s="225"/>
      <c r="AF52" s="163">
        <f t="shared" si="5"/>
        <v>2606.0540069686413</v>
      </c>
    </row>
    <row r="53" spans="1:32" ht="24">
      <c r="A53" s="237" t="str">
        <f>'FY14 vs. ceiling by LEA'!A111</f>
        <v>Washington Math Science &amp; Technology (WMST) PCS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205">
        <f t="shared" si="1"/>
        <v>0</v>
      </c>
      <c r="O53" s="152"/>
      <c r="P53" s="152">
        <v>114860</v>
      </c>
      <c r="Q53" s="152">
        <v>103128</v>
      </c>
      <c r="R53" s="152">
        <v>0</v>
      </c>
      <c r="S53" s="152">
        <v>0</v>
      </c>
      <c r="T53" s="152">
        <v>367122</v>
      </c>
      <c r="U53" s="152">
        <v>404032</v>
      </c>
      <c r="V53" s="152">
        <v>172729</v>
      </c>
      <c r="W53" s="152">
        <v>64515</v>
      </c>
      <c r="X53" s="152">
        <v>35000</v>
      </c>
      <c r="Y53" s="152">
        <v>576760</v>
      </c>
      <c r="Z53" s="205">
        <f t="shared" si="2"/>
        <v>1838146</v>
      </c>
      <c r="AA53" s="152"/>
      <c r="AB53" s="213">
        <f t="shared" si="0"/>
        <v>1838146</v>
      </c>
      <c r="AD53" s="214">
        <v>349</v>
      </c>
      <c r="AF53" s="201">
        <f t="shared" si="5"/>
        <v>5266.8939828080229</v>
      </c>
    </row>
    <row r="54" spans="1:32">
      <c r="A54" s="284" t="str">
        <f>'FY14 vs. ceiling by LEA'!A112</f>
        <v>Washington Yu Ying PCS</v>
      </c>
      <c r="B54" s="163">
        <v>0</v>
      </c>
      <c r="C54" s="163">
        <v>0</v>
      </c>
      <c r="D54" s="163">
        <v>39708</v>
      </c>
      <c r="E54" s="163" t="s">
        <v>152</v>
      </c>
      <c r="F54" s="163"/>
      <c r="G54" s="163"/>
      <c r="H54" s="163" t="s">
        <v>152</v>
      </c>
      <c r="I54" s="163"/>
      <c r="J54" s="163"/>
      <c r="K54" s="163"/>
      <c r="L54" s="163"/>
      <c r="M54" s="163"/>
      <c r="N54" s="205">
        <f t="shared" si="1"/>
        <v>39708</v>
      </c>
      <c r="O54" s="163"/>
      <c r="P54" s="163">
        <v>77811</v>
      </c>
      <c r="Q54" s="163">
        <v>176298</v>
      </c>
      <c r="R54" s="163">
        <v>0</v>
      </c>
      <c r="S54" s="163">
        <v>7199</v>
      </c>
      <c r="T54" s="163">
        <v>272127</v>
      </c>
      <c r="U54" s="163">
        <v>503080</v>
      </c>
      <c r="V54" s="163">
        <v>90318</v>
      </c>
      <c r="W54" s="163">
        <v>20184</v>
      </c>
      <c r="X54" s="163">
        <v>0</v>
      </c>
      <c r="Y54" s="163">
        <v>0</v>
      </c>
      <c r="Z54" s="205">
        <f t="shared" si="2"/>
        <v>1147017</v>
      </c>
      <c r="AA54" s="163"/>
      <c r="AB54" s="163">
        <f t="shared" si="0"/>
        <v>1186725</v>
      </c>
      <c r="AC54" s="225"/>
      <c r="AD54" s="226">
        <v>367</v>
      </c>
      <c r="AE54" s="225"/>
      <c r="AF54" s="163">
        <f t="shared" si="5"/>
        <v>3233.58310626703</v>
      </c>
    </row>
    <row r="55" spans="1:32">
      <c r="A55" s="237" t="str">
        <f>'FY14 vs. ceiling by LEA'!A113</f>
        <v>William E. Doar Jr PCS for the Performing Arts</v>
      </c>
      <c r="B55" s="152">
        <v>107264</v>
      </c>
      <c r="C55" s="152">
        <v>134307</v>
      </c>
      <c r="D55" s="152">
        <v>1003649</v>
      </c>
      <c r="E55" s="152"/>
      <c r="F55" s="152">
        <v>-76559</v>
      </c>
      <c r="G55" s="152"/>
      <c r="H55" s="152">
        <v>163640</v>
      </c>
      <c r="I55" s="152">
        <v>109289</v>
      </c>
      <c r="J55" s="152">
        <v>120818</v>
      </c>
      <c r="K55" s="152"/>
      <c r="L55" s="152">
        <v>25000</v>
      </c>
      <c r="M55" s="152"/>
      <c r="N55" s="205">
        <f t="shared" si="1"/>
        <v>1587408</v>
      </c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205">
        <f t="shared" si="2"/>
        <v>0</v>
      </c>
      <c r="AA55" s="152"/>
      <c r="AB55" s="213">
        <f t="shared" si="0"/>
        <v>1587408</v>
      </c>
      <c r="AD55" s="214">
        <v>426</v>
      </c>
      <c r="AF55" s="201">
        <f t="shared" si="5"/>
        <v>3726.3098591549297</v>
      </c>
    </row>
    <row r="56" spans="1:32">
      <c r="A56" s="285" t="str">
        <f>'FY14 vs. ceiling by LEA'!A114</f>
        <v>YouthBuild PCS</v>
      </c>
      <c r="B56" s="164">
        <v>0</v>
      </c>
      <c r="C56" s="164">
        <v>0</v>
      </c>
      <c r="D56" s="164">
        <v>0</v>
      </c>
      <c r="E56" s="164">
        <v>0</v>
      </c>
      <c r="F56" s="164"/>
      <c r="G56" s="164"/>
      <c r="H56" s="164"/>
      <c r="I56" s="164"/>
      <c r="J56" s="164"/>
      <c r="K56" s="164"/>
      <c r="L56" s="164"/>
      <c r="M56" s="164"/>
      <c r="N56" s="206">
        <f t="shared" si="1"/>
        <v>0</v>
      </c>
      <c r="O56" s="164">
        <v>0</v>
      </c>
      <c r="P56" s="164">
        <v>0</v>
      </c>
      <c r="Q56" s="164">
        <v>0</v>
      </c>
      <c r="R56" s="164">
        <v>0</v>
      </c>
      <c r="S56" s="164"/>
      <c r="T56" s="164"/>
      <c r="U56" s="164"/>
      <c r="V56" s="164"/>
      <c r="W56" s="164"/>
      <c r="X56" s="164"/>
      <c r="Y56" s="164"/>
      <c r="Z56" s="206">
        <f t="shared" si="2"/>
        <v>0</v>
      </c>
      <c r="AA56" s="164"/>
      <c r="AB56" s="164">
        <f t="shared" si="0"/>
        <v>0</v>
      </c>
      <c r="AC56" s="227"/>
      <c r="AD56" s="228">
        <v>0</v>
      </c>
      <c r="AE56" s="227"/>
      <c r="AF56" s="164" t="s">
        <v>45</v>
      </c>
    </row>
    <row r="57" spans="1:32" s="160" customFormat="1">
      <c r="A57" s="286" t="s">
        <v>132</v>
      </c>
      <c r="B57" s="161">
        <f t="shared" ref="B57:AB57" si="6">SUM(B4:B56)</f>
        <v>4156624</v>
      </c>
      <c r="C57" s="161">
        <f t="shared" si="6"/>
        <v>6098293</v>
      </c>
      <c r="D57" s="161">
        <f t="shared" si="6"/>
        <v>28526130</v>
      </c>
      <c r="E57" s="161">
        <f t="shared" si="6"/>
        <v>1412804.79</v>
      </c>
      <c r="F57" s="161">
        <f t="shared" si="6"/>
        <v>390396</v>
      </c>
      <c r="G57" s="161">
        <f t="shared" si="6"/>
        <v>443326</v>
      </c>
      <c r="H57" s="161">
        <f t="shared" si="6"/>
        <v>7654078</v>
      </c>
      <c r="I57" s="161">
        <f t="shared" si="6"/>
        <v>3118211</v>
      </c>
      <c r="J57" s="161">
        <f t="shared" si="6"/>
        <v>976178</v>
      </c>
      <c r="K57" s="161">
        <f t="shared" si="6"/>
        <v>256788</v>
      </c>
      <c r="L57" s="161">
        <f t="shared" si="6"/>
        <v>10774585</v>
      </c>
      <c r="M57" s="161">
        <f t="shared" si="6"/>
        <v>3022660</v>
      </c>
      <c r="N57" s="165">
        <f t="shared" si="6"/>
        <v>66830073.789999999</v>
      </c>
      <c r="O57" s="161">
        <f t="shared" si="6"/>
        <v>0</v>
      </c>
      <c r="P57" s="161">
        <f t="shared" si="6"/>
        <v>3886017</v>
      </c>
      <c r="Q57" s="161">
        <f t="shared" si="6"/>
        <v>7414419</v>
      </c>
      <c r="R57" s="161">
        <f t="shared" si="6"/>
        <v>28504</v>
      </c>
      <c r="S57" s="161">
        <f t="shared" si="6"/>
        <v>476959</v>
      </c>
      <c r="T57" s="161">
        <f t="shared" si="6"/>
        <v>11872533</v>
      </c>
      <c r="U57" s="161">
        <f t="shared" si="6"/>
        <v>14987239</v>
      </c>
      <c r="V57" s="161">
        <f t="shared" si="6"/>
        <v>8868885</v>
      </c>
      <c r="W57" s="161">
        <f t="shared" si="6"/>
        <v>2177950</v>
      </c>
      <c r="X57" s="161">
        <f t="shared" si="6"/>
        <v>2996871</v>
      </c>
      <c r="Y57" s="161">
        <f t="shared" si="6"/>
        <v>6491020</v>
      </c>
      <c r="Z57" s="165">
        <f t="shared" si="6"/>
        <v>59200397</v>
      </c>
      <c r="AA57" s="161">
        <f t="shared" si="6"/>
        <v>3122863.4699999997</v>
      </c>
      <c r="AB57" s="209">
        <f t="shared" si="6"/>
        <v>126030470.78999999</v>
      </c>
      <c r="AD57" s="215">
        <f>SUM(AD4:AD56)</f>
        <v>30314</v>
      </c>
      <c r="AF57" s="202">
        <f>AB57/AD57</f>
        <v>4157.5005208814409</v>
      </c>
    </row>
    <row r="58" spans="1:32" ht="12.75" hidden="1" customHeight="1">
      <c r="A58" s="237" t="s">
        <v>133</v>
      </c>
      <c r="B58" s="152">
        <f t="shared" ref="B58:N58" si="7">B57</f>
        <v>4156624</v>
      </c>
      <c r="C58" s="152">
        <f t="shared" si="7"/>
        <v>6098293</v>
      </c>
      <c r="D58" s="152">
        <f t="shared" si="7"/>
        <v>28526130</v>
      </c>
      <c r="E58" s="152">
        <f t="shared" si="7"/>
        <v>1412804.79</v>
      </c>
      <c r="F58" s="152">
        <f t="shared" si="7"/>
        <v>390396</v>
      </c>
      <c r="G58" s="152">
        <f t="shared" si="7"/>
        <v>443326</v>
      </c>
      <c r="H58" s="152">
        <f t="shared" si="7"/>
        <v>7654078</v>
      </c>
      <c r="I58" s="152">
        <f t="shared" si="7"/>
        <v>3118211</v>
      </c>
      <c r="J58" s="152">
        <f t="shared" si="7"/>
        <v>976178</v>
      </c>
      <c r="K58" s="152">
        <f t="shared" si="7"/>
        <v>256788</v>
      </c>
      <c r="L58" s="152">
        <f t="shared" si="7"/>
        <v>10774585</v>
      </c>
      <c r="M58" s="152">
        <f t="shared" si="7"/>
        <v>3022660</v>
      </c>
      <c r="N58" s="152">
        <f t="shared" si="7"/>
        <v>66830073.789999999</v>
      </c>
      <c r="O58" s="152">
        <f>O57-O37</f>
        <v>0</v>
      </c>
      <c r="P58" s="152">
        <f t="shared" ref="P58:AB58" si="8">P57</f>
        <v>3886017</v>
      </c>
      <c r="Q58" s="152">
        <f t="shared" si="8"/>
        <v>7414419</v>
      </c>
      <c r="R58" s="152">
        <f t="shared" si="8"/>
        <v>28504</v>
      </c>
      <c r="S58" s="152">
        <f t="shared" si="8"/>
        <v>476959</v>
      </c>
      <c r="T58" s="152">
        <f t="shared" si="8"/>
        <v>11872533</v>
      </c>
      <c r="U58" s="152">
        <f t="shared" si="8"/>
        <v>14987239</v>
      </c>
      <c r="V58" s="152">
        <f t="shared" si="8"/>
        <v>8868885</v>
      </c>
      <c r="W58" s="152">
        <f t="shared" si="8"/>
        <v>2177950</v>
      </c>
      <c r="X58" s="152">
        <f t="shared" si="8"/>
        <v>2996871</v>
      </c>
      <c r="Y58" s="152">
        <f t="shared" si="8"/>
        <v>6491020</v>
      </c>
      <c r="Z58" s="152">
        <f t="shared" si="8"/>
        <v>59200397</v>
      </c>
      <c r="AA58" s="152">
        <f t="shared" si="8"/>
        <v>3122863.4699999997</v>
      </c>
      <c r="AB58" s="152">
        <f t="shared" si="8"/>
        <v>126030470.78999999</v>
      </c>
      <c r="AC58" s="144">
        <f>AC57-AC37</f>
        <v>0</v>
      </c>
      <c r="AD58" s="144">
        <f>AD57</f>
        <v>30314</v>
      </c>
      <c r="AF58" s="145"/>
    </row>
    <row r="59" spans="1:32" ht="12.75" hidden="1" customHeight="1">
      <c r="B59" s="154">
        <f t="shared" ref="B59:M59" si="9">B58/$N$58</f>
        <v>6.2196908730960718E-2</v>
      </c>
      <c r="C59" s="154">
        <f t="shared" si="9"/>
        <v>9.1250729711337047E-2</v>
      </c>
      <c r="D59" s="154">
        <f t="shared" si="9"/>
        <v>0.4268457055671912</v>
      </c>
      <c r="E59" s="154">
        <f t="shared" si="9"/>
        <v>2.1140254826583816E-2</v>
      </c>
      <c r="F59" s="154">
        <f t="shared" si="9"/>
        <v>5.8416215613758043E-3</v>
      </c>
      <c r="G59" s="154">
        <f t="shared" si="9"/>
        <v>6.6336302634209619E-3</v>
      </c>
      <c r="H59" s="154">
        <f t="shared" si="9"/>
        <v>0.11453044364504808</v>
      </c>
      <c r="I59" s="154">
        <f t="shared" si="9"/>
        <v>4.6658799297429297E-2</v>
      </c>
      <c r="J59" s="154">
        <f t="shared" si="9"/>
        <v>1.4606867008219115E-2</v>
      </c>
      <c r="K59" s="154">
        <f t="shared" si="9"/>
        <v>3.8424018624744361E-3</v>
      </c>
      <c r="L59" s="154">
        <f t="shared" si="9"/>
        <v>0.16122359873276448</v>
      </c>
      <c r="M59" s="154">
        <f t="shared" si="9"/>
        <v>4.5229038793195085E-2</v>
      </c>
      <c r="P59" s="146">
        <f t="shared" ref="P59:Y59" si="10">P58/$Z$58</f>
        <v>6.5641738855230988E-2</v>
      </c>
      <c r="Q59" s="146">
        <f t="shared" si="10"/>
        <v>0.12524272430132521</v>
      </c>
      <c r="R59" s="146">
        <f t="shared" si="10"/>
        <v>4.8148325762072168E-4</v>
      </c>
      <c r="S59" s="146">
        <f t="shared" si="10"/>
        <v>8.0566858360764035E-3</v>
      </c>
      <c r="T59" s="146">
        <f t="shared" si="10"/>
        <v>0.20054819902643559</v>
      </c>
      <c r="U59" s="146">
        <f t="shared" si="10"/>
        <v>0.25316112322692702</v>
      </c>
      <c r="V59" s="146">
        <f t="shared" si="10"/>
        <v>0.14981124197528609</v>
      </c>
      <c r="W59" s="146">
        <f t="shared" si="10"/>
        <v>3.6789449232916459E-2</v>
      </c>
      <c r="X59" s="146">
        <f t="shared" si="10"/>
        <v>5.0622481467480697E-2</v>
      </c>
      <c r="Y59" s="146">
        <f t="shared" si="10"/>
        <v>0.10964487282070084</v>
      </c>
      <c r="AD59" s="159" t="e">
        <f>AD57-#REF!-AD16-AD17-AD26-AD50-#REF!-#REF!-#REF!-#REF!-AD44-#REF!-#REF!-AD52-#REF!</f>
        <v>#REF!</v>
      </c>
      <c r="AF59" s="144"/>
    </row>
    <row r="60" spans="1:32" ht="12.75" hidden="1" customHeight="1" outlineLevel="1">
      <c r="AD60" s="153" t="e">
        <f>AB58/AD59</f>
        <v>#REF!</v>
      </c>
    </row>
    <row r="61" spans="1:32" ht="13.5" customHeight="1" outlineLevel="1"/>
    <row r="62" spans="1:32" ht="12.75" hidden="1" customHeight="1" outlineLevel="1">
      <c r="R62" s="124">
        <v>0</v>
      </c>
      <c r="S62" s="155" t="s">
        <v>134</v>
      </c>
      <c r="T62" s="155" t="s">
        <v>136</v>
      </c>
      <c r="U62" s="147" t="s">
        <v>137</v>
      </c>
    </row>
    <row r="63" spans="1:32" ht="12.75" hidden="1" customHeight="1" outlineLevel="1">
      <c r="R63" s="124">
        <v>500</v>
      </c>
      <c r="S63" s="134">
        <v>0</v>
      </c>
      <c r="T63" s="135">
        <v>0</v>
      </c>
      <c r="U63" s="146">
        <f t="shared" ref="U63:U74" si="11">T63/$T$75</f>
        <v>0</v>
      </c>
    </row>
    <row r="64" spans="1:32" ht="12.75" hidden="1" customHeight="1" outlineLevel="1">
      <c r="R64" s="124">
        <v>1000</v>
      </c>
      <c r="S64" s="134">
        <v>500</v>
      </c>
      <c r="T64" s="135">
        <v>0</v>
      </c>
      <c r="U64" s="146">
        <f t="shared" si="11"/>
        <v>0</v>
      </c>
    </row>
    <row r="65" spans="18:30" ht="12.75" hidden="1" customHeight="1" outlineLevel="1">
      <c r="R65" s="124">
        <v>1500</v>
      </c>
      <c r="S65" s="134">
        <v>1000</v>
      </c>
      <c r="T65" s="135">
        <v>2</v>
      </c>
      <c r="U65" s="146">
        <f t="shared" si="11"/>
        <v>4.878048780487805E-2</v>
      </c>
      <c r="AD65" s="124"/>
    </row>
    <row r="66" spans="18:30" ht="12.75" hidden="1" customHeight="1" outlineLevel="1">
      <c r="R66" s="124">
        <v>2000</v>
      </c>
      <c r="S66" s="134">
        <v>1500</v>
      </c>
      <c r="T66" s="135">
        <v>1</v>
      </c>
      <c r="U66" s="146">
        <f t="shared" si="11"/>
        <v>2.4390243902439025E-2</v>
      </c>
      <c r="AD66" s="124"/>
    </row>
    <row r="67" spans="18:30" ht="12.75" hidden="1" customHeight="1" outlineLevel="1">
      <c r="R67" s="124">
        <v>2500</v>
      </c>
      <c r="S67" s="134">
        <v>2000</v>
      </c>
      <c r="T67" s="135">
        <v>4</v>
      </c>
      <c r="U67" s="146">
        <f t="shared" si="11"/>
        <v>9.7560975609756101E-2</v>
      </c>
      <c r="V67" s="124">
        <f>SUM(T63:T67)/T75</f>
        <v>0.17073170731707318</v>
      </c>
      <c r="AD67" s="124"/>
    </row>
    <row r="68" spans="18:30" ht="12.75" hidden="1" customHeight="1" outlineLevel="1">
      <c r="R68" s="124">
        <v>3000</v>
      </c>
      <c r="S68" s="134">
        <v>2500</v>
      </c>
      <c r="T68" s="135">
        <v>3</v>
      </c>
      <c r="U68" s="146">
        <f t="shared" si="11"/>
        <v>7.3170731707317069E-2</v>
      </c>
      <c r="V68" s="124">
        <f>6/T75</f>
        <v>0.14634146341463414</v>
      </c>
      <c r="AD68" s="124"/>
    </row>
    <row r="69" spans="18:30" ht="12.75" hidden="1" customHeight="1" outlineLevel="1">
      <c r="R69" s="124">
        <v>3500</v>
      </c>
      <c r="S69" s="134">
        <v>3000</v>
      </c>
      <c r="T69" s="135">
        <v>3</v>
      </c>
      <c r="U69" s="146">
        <f t="shared" si="11"/>
        <v>7.3170731707317069E-2</v>
      </c>
      <c r="V69" s="124">
        <f>SUM(T70:T74)</f>
        <v>28</v>
      </c>
      <c r="AD69" s="124"/>
    </row>
    <row r="70" spans="18:30" ht="12.75" hidden="1" customHeight="1" outlineLevel="1">
      <c r="R70" s="124">
        <v>4000</v>
      </c>
      <c r="S70" s="134">
        <v>3500</v>
      </c>
      <c r="T70" s="135">
        <v>3</v>
      </c>
      <c r="U70" s="146">
        <f t="shared" si="11"/>
        <v>7.3170731707317069E-2</v>
      </c>
      <c r="V70" s="124">
        <f>V69/T75</f>
        <v>0.68292682926829273</v>
      </c>
      <c r="AD70" s="124"/>
    </row>
    <row r="71" spans="18:30" ht="12.75" hidden="1" customHeight="1" outlineLevel="1">
      <c r="R71" s="124">
        <v>4500</v>
      </c>
      <c r="S71" s="134">
        <v>4000</v>
      </c>
      <c r="T71" s="135">
        <v>6</v>
      </c>
      <c r="U71" s="146">
        <f t="shared" si="11"/>
        <v>0.14634146341463414</v>
      </c>
      <c r="AD71" s="124"/>
    </row>
    <row r="72" spans="18:30" ht="12.75" hidden="1" customHeight="1" outlineLevel="1">
      <c r="R72" s="124">
        <v>5000</v>
      </c>
      <c r="S72" s="134">
        <v>4500</v>
      </c>
      <c r="T72" s="135">
        <v>4</v>
      </c>
      <c r="U72" s="146">
        <f t="shared" si="11"/>
        <v>9.7560975609756101E-2</v>
      </c>
      <c r="AD72" s="124"/>
    </row>
    <row r="73" spans="18:30" ht="12.75" hidden="1" customHeight="1" outlineLevel="1">
      <c r="S73" s="134">
        <v>5000</v>
      </c>
      <c r="T73" s="135">
        <v>4</v>
      </c>
      <c r="U73" s="146">
        <f t="shared" si="11"/>
        <v>9.7560975609756101E-2</v>
      </c>
      <c r="AD73" s="124"/>
    </row>
    <row r="74" spans="18:30" ht="13.5" hidden="1" customHeight="1" outlineLevel="1" thickBot="1">
      <c r="S74" s="136" t="s">
        <v>135</v>
      </c>
      <c r="T74" s="136">
        <v>11</v>
      </c>
      <c r="U74" s="146">
        <f t="shared" si="11"/>
        <v>0.26829268292682928</v>
      </c>
      <c r="AD74" s="124"/>
    </row>
    <row r="75" spans="18:30" ht="12.75" hidden="1" customHeight="1" outlineLevel="1">
      <c r="T75" s="124">
        <f>SUM(T63:T74)</f>
        <v>41</v>
      </c>
      <c r="AD75" s="124"/>
    </row>
    <row r="76" spans="18:30" ht="12.75" hidden="1" customHeight="1" outlineLevel="1">
      <c r="AD76" s="124"/>
    </row>
    <row r="77" spans="18:30" ht="12.75" hidden="1" customHeight="1" outlineLevel="1">
      <c r="T77" s="124">
        <f>T75/57</f>
        <v>0.7192982456140351</v>
      </c>
      <c r="AD77" s="124"/>
    </row>
    <row r="78" spans="18:30" ht="12.75" hidden="1" customHeight="1" outlineLevel="1">
      <c r="AD78" s="124"/>
    </row>
    <row r="79" spans="18:30" ht="12.75" hidden="1" customHeight="1" outlineLevel="1">
      <c r="AD79" s="124"/>
    </row>
    <row r="80" spans="18:30" ht="12.75" hidden="1" customHeight="1" outlineLevel="1">
      <c r="AD80" s="124"/>
    </row>
    <row r="81" spans="30:30" ht="12.75" hidden="1" customHeight="1" outlineLevel="1">
      <c r="AD81" s="124"/>
    </row>
    <row r="82" spans="30:30" ht="12.75" hidden="1" customHeight="1" outlineLevel="1">
      <c r="AD82" s="124"/>
    </row>
    <row r="83" spans="30:30" ht="12.75" hidden="1" customHeight="1" outlineLevel="1">
      <c r="AD83" s="124"/>
    </row>
    <row r="84" spans="30:30" ht="12.75" hidden="1" customHeight="1" outlineLevel="1">
      <c r="AD84" s="124"/>
    </row>
    <row r="85" spans="30:30" ht="12.75" hidden="1" customHeight="1" outlineLevel="1">
      <c r="AD85" s="124"/>
    </row>
    <row r="86" spans="30:30" ht="12.75" hidden="1" customHeight="1" outlineLevel="1">
      <c r="AD86" s="124"/>
    </row>
    <row r="87" spans="30:30" ht="12.75" hidden="1" customHeight="1" outlineLevel="1">
      <c r="AD87" s="124"/>
    </row>
    <row r="88" spans="30:30" ht="12.75" hidden="1" customHeight="1" outlineLevel="1">
      <c r="AD88" s="124"/>
    </row>
    <row r="89" spans="30:30" ht="12.75" hidden="1" customHeight="1">
      <c r="AD89" s="124"/>
    </row>
    <row r="90" spans="30:30" ht="12.75" hidden="1" customHeight="1">
      <c r="AD90" s="124"/>
    </row>
    <row r="91" spans="30:30" ht="12.75" hidden="1" customHeight="1">
      <c r="AD91" s="124"/>
    </row>
    <row r="92" spans="30:30" ht="12.75" hidden="1" customHeight="1">
      <c r="AD92" s="124"/>
    </row>
    <row r="93" spans="30:30" ht="12.75" hidden="1" customHeight="1">
      <c r="AD93" s="124"/>
    </row>
    <row r="94" spans="30:30" ht="12.75" hidden="1" customHeight="1">
      <c r="AD94" s="124"/>
    </row>
    <row r="95" spans="30:30" ht="12.75" hidden="1" customHeight="1">
      <c r="AD95" s="124"/>
    </row>
    <row r="96" spans="30:30" ht="12.75" hidden="1" customHeight="1">
      <c r="AD96" s="124"/>
    </row>
    <row r="97" spans="2:30" ht="12.75" hidden="1" customHeight="1" outlineLevel="1">
      <c r="B97" s="142" t="str">
        <f>B2</f>
        <v>Utilities</v>
      </c>
      <c r="C97" s="148">
        <f>B59</f>
        <v>6.2196908730960718E-2</v>
      </c>
      <c r="E97" s="124" t="str">
        <f>P2</f>
        <v>Utilities</v>
      </c>
      <c r="F97" s="149">
        <f>P59</f>
        <v>6.5641738855230988E-2</v>
      </c>
      <c r="AD97" s="124"/>
    </row>
    <row r="98" spans="2:30" ht="12.75" hidden="1" customHeight="1" outlineLevel="1">
      <c r="B98" s="142" t="str">
        <f>C2</f>
        <v>Maintenance</v>
      </c>
      <c r="C98" s="148">
        <f>C59</f>
        <v>9.1250729711337047E-2</v>
      </c>
      <c r="E98" s="124" t="str">
        <f>Q2</f>
        <v>Maintenance</v>
      </c>
      <c r="F98" s="149">
        <f>Q59</f>
        <v>0.12524272430132521</v>
      </c>
      <c r="AD98" s="124"/>
    </row>
    <row r="99" spans="2:30" ht="12.75" hidden="1" customHeight="1" outlineLevel="1">
      <c r="B99" s="142" t="str">
        <f>D2</f>
        <v>Direct lease payments</v>
      </c>
      <c r="C99" s="148">
        <f>D59</f>
        <v>0.4268457055671912</v>
      </c>
      <c r="E99" s="124" t="str">
        <f>R2</f>
        <v>Real estate taxes (if applicable)</v>
      </c>
      <c r="F99" s="149">
        <f>R59</f>
        <v>4.8148325762072168E-4</v>
      </c>
      <c r="AD99" s="124"/>
    </row>
    <row r="100" spans="2:30" ht="12.75" hidden="1" customHeight="1" outlineLevel="1">
      <c r="B100" s="142" t="str">
        <f>E2</f>
        <v>Additional lease payments (CAM charges, etc.)</v>
      </c>
      <c r="C100" s="148">
        <f>E59</f>
        <v>2.1140254826583816E-2</v>
      </c>
      <c r="E100" s="124" t="str">
        <f>S2</f>
        <v>Property Insurance</v>
      </c>
      <c r="F100" s="149">
        <f>S59</f>
        <v>8.0566858360764035E-3</v>
      </c>
      <c r="AD100" s="124"/>
    </row>
    <row r="101" spans="2:30" ht="12.75" hidden="1" customHeight="1" outlineLevel="1">
      <c r="B101" s="142" t="str">
        <f>F2</f>
        <v>Real estate taxes (if applicable)</v>
      </c>
      <c r="C101" s="148">
        <f>F59</f>
        <v>5.8416215613758043E-3</v>
      </c>
      <c r="E101" s="124" t="str">
        <f>T2</f>
        <v>Depreciation of building/improvements/FFE</v>
      </c>
      <c r="F101" s="149">
        <f>T59</f>
        <v>0.20054819902643559</v>
      </c>
      <c r="AD101" s="124"/>
    </row>
    <row r="102" spans="2:30" ht="12.75" hidden="1" customHeight="1" outlineLevel="1">
      <c r="B102" s="142" t="str">
        <f>G2</f>
        <v>Property Insurance</v>
      </c>
      <c r="C102" s="148">
        <f>G59</f>
        <v>6.6336302634209619E-3</v>
      </c>
      <c r="E102" s="124" t="str">
        <f>U2</f>
        <v>Debt service for mortgage financing:</v>
      </c>
      <c r="F102" s="149">
        <f>U59+V59+W59</f>
        <v>0.43976181443512957</v>
      </c>
      <c r="AD102" s="124"/>
    </row>
    <row r="103" spans="2:30" ht="12.75" hidden="1" customHeight="1" outlineLevel="1">
      <c r="B103" s="142" t="str">
        <f>H2</f>
        <v>Amortization of leasehold improvements &amp; FFE</v>
      </c>
      <c r="C103" s="148">
        <f>H59</f>
        <v>0.11453044364504808</v>
      </c>
      <c r="E103" s="124" t="str">
        <f>X2</f>
        <v>Capital Expenses (major repairs), not financed</v>
      </c>
      <c r="F103" s="149">
        <f>X59</f>
        <v>5.0622481467480697E-2</v>
      </c>
      <c r="AD103" s="124"/>
    </row>
    <row r="104" spans="2:30" ht="12.75" hidden="1" customHeight="1" outlineLevel="1">
      <c r="B104" s="143" t="str">
        <f>I2</f>
        <v>Debt service for LHI &amp; FFE:</v>
      </c>
      <c r="C104" s="148">
        <f>I59+J59+K59</f>
        <v>6.5108068168122854E-2</v>
      </c>
      <c r="E104" s="124" t="str">
        <f>Y2</f>
        <v>Lender Required Reserves</v>
      </c>
      <c r="F104" s="149">
        <f>Y59</f>
        <v>0.10964487282070084</v>
      </c>
      <c r="AD104" s="124"/>
    </row>
    <row r="105" spans="2:30" ht="12.75" hidden="1" customHeight="1" outlineLevel="1">
      <c r="B105" s="142" t="str">
        <f>L2</f>
        <v>Capital expenses (major repairs), not financed</v>
      </c>
      <c r="C105" s="148">
        <f>L59</f>
        <v>0.16122359873276448</v>
      </c>
      <c r="F105" s="150">
        <f>SUM(F97:F104)</f>
        <v>1.0000000000000002</v>
      </c>
      <c r="AD105" s="124"/>
    </row>
    <row r="106" spans="2:30" ht="12.75" hidden="1" customHeight="1" outlineLevel="1">
      <c r="B106" s="142" t="str">
        <f>M2</f>
        <v>Lender Required Reserves</v>
      </c>
      <c r="C106" s="148">
        <f>M59</f>
        <v>4.5229038793195085E-2</v>
      </c>
      <c r="AD106" s="124"/>
    </row>
    <row r="107" spans="2:30" ht="12.75" hidden="1" customHeight="1">
      <c r="C107" s="149">
        <f>SUM(C97:C106)</f>
        <v>1</v>
      </c>
      <c r="AD107" s="124"/>
    </row>
    <row r="108" spans="2:30" hidden="1">
      <c r="AD108" s="124"/>
    </row>
    <row r="109" spans="2:30" hidden="1">
      <c r="AD109" s="124"/>
    </row>
    <row r="110" spans="2:30" hidden="1">
      <c r="AD110" s="124"/>
    </row>
    <row r="111" spans="2:30" hidden="1">
      <c r="AD111" s="124"/>
    </row>
    <row r="112" spans="2:30" hidden="1">
      <c r="AD112" s="124"/>
    </row>
    <row r="113" spans="28:32" hidden="1">
      <c r="AD113" s="124"/>
    </row>
    <row r="114" spans="28:32" hidden="1">
      <c r="AD114" s="124"/>
    </row>
    <row r="115" spans="28:32" hidden="1">
      <c r="AD115" s="124"/>
    </row>
    <row r="116" spans="28:32" hidden="1">
      <c r="AD116" s="124"/>
    </row>
    <row r="117" spans="28:32" hidden="1">
      <c r="AD117" s="124"/>
    </row>
    <row r="118" spans="28:32" hidden="1">
      <c r="AD118" s="124"/>
    </row>
    <row r="119" spans="28:32" hidden="1">
      <c r="AD119" s="124"/>
    </row>
    <row r="120" spans="28:32" hidden="1">
      <c r="AD120" s="124"/>
    </row>
    <row r="121" spans="28:32" hidden="1">
      <c r="AD121" s="124"/>
    </row>
    <row r="122" spans="28:32" hidden="1">
      <c r="AD122" s="124"/>
    </row>
    <row r="123" spans="28:32" hidden="1">
      <c r="AD123" s="124"/>
    </row>
    <row r="124" spans="28:32" hidden="1">
      <c r="AD124" s="124"/>
    </row>
    <row r="125" spans="28:32" hidden="1">
      <c r="AD125" s="124"/>
    </row>
    <row r="126" spans="28:32" hidden="1">
      <c r="AD126" s="124"/>
    </row>
    <row r="127" spans="28:32" hidden="1">
      <c r="AB127" s="145">
        <f>AB53-P53-Q53-B53-C53</f>
        <v>1620158</v>
      </c>
      <c r="AD127" s="124"/>
      <c r="AF127" s="124">
        <f>AB127/AD53</f>
        <v>4642.2865329512897</v>
      </c>
    </row>
    <row r="128" spans="28:32" hidden="1">
      <c r="AD128" s="124"/>
    </row>
    <row r="129" spans="1:30" hidden="1">
      <c r="AD129" s="124"/>
    </row>
    <row r="130" spans="1:30" hidden="1">
      <c r="AD130" s="124"/>
    </row>
    <row r="131" spans="1:30" hidden="1">
      <c r="AD131" s="124"/>
    </row>
    <row r="132" spans="1:30" hidden="1">
      <c r="AD132" s="124"/>
    </row>
    <row r="133" spans="1:30" hidden="1">
      <c r="AD133" s="124"/>
    </row>
    <row r="134" spans="1:30" hidden="1">
      <c r="AD134" s="124"/>
    </row>
    <row r="135" spans="1:30">
      <c r="AD135" s="124"/>
    </row>
    <row r="136" spans="1:30">
      <c r="A136" s="287" t="s">
        <v>182</v>
      </c>
      <c r="B136" s="231"/>
      <c r="C136" s="231"/>
      <c r="D136" s="231"/>
      <c r="E136" s="231"/>
      <c r="F136" s="231"/>
      <c r="G136" s="231"/>
      <c r="H136" s="231"/>
      <c r="AD136" s="124"/>
    </row>
    <row r="137" spans="1:30">
      <c r="A137" s="287" t="s">
        <v>185</v>
      </c>
      <c r="B137" s="231"/>
      <c r="C137" s="231"/>
      <c r="D137" s="231"/>
      <c r="E137" s="231"/>
      <c r="F137" s="231"/>
      <c r="G137" s="231"/>
      <c r="H137" s="231"/>
      <c r="I137" s="231"/>
      <c r="J137" s="231"/>
      <c r="AD137" s="124"/>
    </row>
    <row r="138" spans="1:30">
      <c r="AD138" s="124"/>
    </row>
    <row r="139" spans="1:30">
      <c r="AD139" s="124"/>
    </row>
    <row r="140" spans="1:30">
      <c r="AD140" s="124"/>
    </row>
    <row r="141" spans="1:30">
      <c r="AD141" s="124"/>
    </row>
    <row r="142" spans="1:30">
      <c r="AD142" s="124"/>
    </row>
    <row r="143" spans="1:30">
      <c r="AD143" s="124"/>
    </row>
    <row r="144" spans="1:30">
      <c r="AD144" s="124"/>
    </row>
    <row r="145" spans="30:30">
      <c r="AD145" s="124"/>
    </row>
    <row r="146" spans="30:30">
      <c r="AD146" s="124"/>
    </row>
    <row r="147" spans="30:30">
      <c r="AD147" s="124"/>
    </row>
    <row r="148" spans="30:30">
      <c r="AD148" s="124"/>
    </row>
    <row r="149" spans="30:30">
      <c r="AD149" s="124"/>
    </row>
    <row r="150" spans="30:30">
      <c r="AD150" s="124"/>
    </row>
    <row r="151" spans="30:30">
      <c r="AD151" s="124"/>
    </row>
    <row r="152" spans="30:30">
      <c r="AD152" s="124"/>
    </row>
    <row r="153" spans="30:30">
      <c r="AD153" s="124"/>
    </row>
    <row r="154" spans="30:30">
      <c r="AD154" s="124"/>
    </row>
    <row r="155" spans="30:30">
      <c r="AD155" s="124"/>
    </row>
    <row r="156" spans="30:30">
      <c r="AD156" s="124"/>
    </row>
    <row r="157" spans="30:30">
      <c r="AD157" s="124"/>
    </row>
    <row r="158" spans="30:30">
      <c r="AD158" s="124"/>
    </row>
    <row r="159" spans="30:30">
      <c r="AD159" s="124"/>
    </row>
    <row r="160" spans="30:30">
      <c r="AD160" s="124"/>
    </row>
    <row r="161" spans="30:30">
      <c r="AD161" s="124"/>
    </row>
    <row r="162" spans="30:30">
      <c r="AD162" s="124"/>
    </row>
    <row r="163" spans="30:30">
      <c r="AD163" s="124"/>
    </row>
    <row r="164" spans="30:30">
      <c r="AD164" s="124"/>
    </row>
    <row r="165" spans="30:30">
      <c r="AD165" s="124"/>
    </row>
    <row r="166" spans="30:30">
      <c r="AD166" s="124"/>
    </row>
    <row r="167" spans="30:30">
      <c r="AD167" s="124"/>
    </row>
    <row r="168" spans="30:30">
      <c r="AD168" s="124"/>
    </row>
    <row r="169" spans="30:30">
      <c r="AD169" s="124"/>
    </row>
    <row r="170" spans="30:30">
      <c r="AD170" s="124"/>
    </row>
    <row r="171" spans="30:30">
      <c r="AD171" s="124"/>
    </row>
    <row r="172" spans="30:30">
      <c r="AD172" s="124"/>
    </row>
    <row r="173" spans="30:30">
      <c r="AD173" s="124"/>
    </row>
    <row r="174" spans="30:30">
      <c r="AD174" s="124"/>
    </row>
    <row r="175" spans="30:30">
      <c r="AD175" s="124"/>
    </row>
    <row r="176" spans="30:30">
      <c r="AD176" s="124"/>
    </row>
    <row r="177" spans="30:30">
      <c r="AD177" s="124"/>
    </row>
    <row r="178" spans="30:30">
      <c r="AD178" s="124"/>
    </row>
    <row r="179" spans="30:30">
      <c r="AD179" s="124"/>
    </row>
    <row r="180" spans="30:30">
      <c r="AD180" s="124"/>
    </row>
    <row r="181" spans="30:30">
      <c r="AD181" s="124"/>
    </row>
    <row r="182" spans="30:30">
      <c r="AD182" s="124"/>
    </row>
    <row r="183" spans="30:30">
      <c r="AD183" s="124"/>
    </row>
    <row r="184" spans="30:30">
      <c r="AD184" s="124"/>
    </row>
    <row r="185" spans="30:30">
      <c r="AD185" s="124"/>
    </row>
    <row r="186" spans="30:30">
      <c r="AD186" s="124"/>
    </row>
    <row r="187" spans="30:30">
      <c r="AD187" s="124"/>
    </row>
    <row r="188" spans="30:30">
      <c r="AD188" s="124"/>
    </row>
    <row r="189" spans="30:30">
      <c r="AD189" s="124"/>
    </row>
    <row r="190" spans="30:30">
      <c r="AD190" s="124"/>
    </row>
    <row r="191" spans="30:30">
      <c r="AD191" s="124"/>
    </row>
    <row r="192" spans="30:30">
      <c r="AD192" s="124"/>
    </row>
    <row r="193" spans="30:30">
      <c r="AD193" s="124"/>
    </row>
    <row r="194" spans="30:30">
      <c r="AD194" s="124"/>
    </row>
    <row r="195" spans="30:30">
      <c r="AD195" s="124"/>
    </row>
    <row r="196" spans="30:30">
      <c r="AD196" s="124"/>
    </row>
    <row r="197" spans="30:30">
      <c r="AD197" s="124"/>
    </row>
    <row r="198" spans="30:30">
      <c r="AD198" s="124"/>
    </row>
    <row r="199" spans="30:30">
      <c r="AD199" s="124"/>
    </row>
    <row r="200" spans="30:30">
      <c r="AD200" s="124"/>
    </row>
    <row r="201" spans="30:30">
      <c r="AD201" s="124"/>
    </row>
    <row r="202" spans="30:30">
      <c r="AD202" s="124"/>
    </row>
    <row r="203" spans="30:30">
      <c r="AD203" s="124"/>
    </row>
    <row r="204" spans="30:30">
      <c r="AD204" s="124"/>
    </row>
    <row r="205" spans="30:30">
      <c r="AD205" s="124"/>
    </row>
    <row r="206" spans="30:30">
      <c r="AD206" s="124"/>
    </row>
    <row r="207" spans="30:30">
      <c r="AD207" s="124"/>
    </row>
    <row r="208" spans="30:30">
      <c r="AD208" s="124"/>
    </row>
    <row r="209" spans="30:30">
      <c r="AD209" s="124"/>
    </row>
    <row r="210" spans="30:30">
      <c r="AD210" s="124"/>
    </row>
    <row r="211" spans="30:30">
      <c r="AD211" s="124"/>
    </row>
    <row r="212" spans="30:30">
      <c r="AD212" s="124"/>
    </row>
    <row r="213" spans="30:30">
      <c r="AD213" s="124"/>
    </row>
    <row r="214" spans="30:30">
      <c r="AD214" s="124"/>
    </row>
    <row r="215" spans="30:30">
      <c r="AD215" s="124"/>
    </row>
    <row r="216" spans="30:30">
      <c r="AD216" s="124"/>
    </row>
    <row r="217" spans="30:30">
      <c r="AD217" s="124"/>
    </row>
    <row r="218" spans="30:30">
      <c r="AD218" s="124"/>
    </row>
    <row r="219" spans="30:30">
      <c r="AD219" s="124"/>
    </row>
    <row r="220" spans="30:30">
      <c r="AD220" s="124"/>
    </row>
    <row r="221" spans="30:30">
      <c r="AD221" s="124"/>
    </row>
    <row r="222" spans="30:30">
      <c r="AD222" s="124"/>
    </row>
    <row r="223" spans="30:30">
      <c r="AD223" s="124"/>
    </row>
    <row r="224" spans="30:30">
      <c r="AD224" s="124"/>
    </row>
    <row r="225" spans="30:30">
      <c r="AD225" s="124"/>
    </row>
    <row r="226" spans="30:30">
      <c r="AD226" s="124"/>
    </row>
    <row r="227" spans="30:30">
      <c r="AD227" s="124"/>
    </row>
    <row r="228" spans="30:30">
      <c r="AD228" s="124"/>
    </row>
    <row r="229" spans="30:30">
      <c r="AD229" s="124"/>
    </row>
    <row r="230" spans="30:30">
      <c r="AD230" s="124"/>
    </row>
    <row r="231" spans="30:30">
      <c r="AD231" s="124"/>
    </row>
    <row r="232" spans="30:30">
      <c r="AD232" s="124"/>
    </row>
    <row r="233" spans="30:30">
      <c r="AD233" s="124"/>
    </row>
    <row r="234" spans="30:30">
      <c r="AD234" s="124"/>
    </row>
    <row r="235" spans="30:30">
      <c r="AD235" s="124"/>
    </row>
    <row r="236" spans="30:30">
      <c r="AD236" s="124"/>
    </row>
    <row r="237" spans="30:30">
      <c r="AD237" s="124"/>
    </row>
    <row r="238" spans="30:30">
      <c r="AD238" s="124"/>
    </row>
    <row r="239" spans="30:30">
      <c r="AD239" s="124"/>
    </row>
    <row r="240" spans="30:30">
      <c r="AD240" s="124"/>
    </row>
    <row r="241" spans="30:30">
      <c r="AD241" s="124"/>
    </row>
    <row r="242" spans="30:30">
      <c r="AD242" s="124"/>
    </row>
    <row r="243" spans="30:30">
      <c r="AD243" s="124"/>
    </row>
    <row r="244" spans="30:30">
      <c r="AD244" s="124"/>
    </row>
    <row r="245" spans="30:30">
      <c r="AD245" s="124"/>
    </row>
    <row r="246" spans="30:30">
      <c r="AD246" s="124"/>
    </row>
    <row r="247" spans="30:30">
      <c r="AD247" s="124"/>
    </row>
    <row r="248" spans="30:30">
      <c r="AD248" s="124"/>
    </row>
    <row r="249" spans="30:30">
      <c r="AD249" s="124"/>
    </row>
    <row r="250" spans="30:30">
      <c r="AD250" s="124"/>
    </row>
    <row r="251" spans="30:30">
      <c r="AD251" s="124"/>
    </row>
    <row r="252" spans="30:30">
      <c r="AD252" s="124"/>
    </row>
    <row r="253" spans="30:30">
      <c r="AD253" s="124"/>
    </row>
    <row r="254" spans="30:30">
      <c r="AD254" s="124"/>
    </row>
    <row r="255" spans="30:30">
      <c r="AD255" s="124"/>
    </row>
    <row r="256" spans="30:30">
      <c r="AD256" s="124"/>
    </row>
    <row r="257" spans="30:30">
      <c r="AD257" s="124"/>
    </row>
    <row r="258" spans="30:30">
      <c r="AD258" s="124"/>
    </row>
    <row r="259" spans="30:30">
      <c r="AD259" s="124"/>
    </row>
    <row r="260" spans="30:30">
      <c r="AD260" s="124"/>
    </row>
    <row r="261" spans="30:30">
      <c r="AD261" s="124"/>
    </row>
    <row r="262" spans="30:30">
      <c r="AD262" s="124"/>
    </row>
    <row r="263" spans="30:30">
      <c r="AD263" s="124"/>
    </row>
    <row r="264" spans="30:30">
      <c r="AD264" s="124"/>
    </row>
    <row r="265" spans="30:30">
      <c r="AD265" s="124"/>
    </row>
    <row r="266" spans="30:30">
      <c r="AD266" s="124"/>
    </row>
    <row r="267" spans="30:30">
      <c r="AD267" s="124"/>
    </row>
    <row r="268" spans="30:30">
      <c r="AD268" s="124"/>
    </row>
    <row r="269" spans="30:30">
      <c r="AD269" s="124"/>
    </row>
    <row r="270" spans="30:30">
      <c r="AD270" s="124"/>
    </row>
    <row r="271" spans="30:30">
      <c r="AD271" s="124"/>
    </row>
    <row r="272" spans="30:30">
      <c r="AD272" s="124"/>
    </row>
    <row r="273" spans="30:30">
      <c r="AD273" s="124"/>
    </row>
    <row r="274" spans="30:30">
      <c r="AD274" s="124"/>
    </row>
    <row r="275" spans="30:30">
      <c r="AD275" s="124"/>
    </row>
    <row r="276" spans="30:30">
      <c r="AD276" s="124"/>
    </row>
    <row r="277" spans="30:30">
      <c r="AD277" s="124"/>
    </row>
    <row r="278" spans="30:30">
      <c r="AD278" s="124"/>
    </row>
    <row r="279" spans="30:30">
      <c r="AD279" s="124"/>
    </row>
    <row r="280" spans="30:30">
      <c r="AD280" s="124"/>
    </row>
    <row r="281" spans="30:30">
      <c r="AD281" s="124"/>
    </row>
    <row r="282" spans="30:30">
      <c r="AD282" s="124"/>
    </row>
    <row r="283" spans="30:30">
      <c r="AD283" s="124"/>
    </row>
    <row r="284" spans="30:30">
      <c r="AD284" s="124"/>
    </row>
    <row r="285" spans="30:30">
      <c r="AD285" s="124"/>
    </row>
    <row r="286" spans="30:30">
      <c r="AD286" s="124"/>
    </row>
    <row r="287" spans="30:30">
      <c r="AD287" s="124"/>
    </row>
    <row r="288" spans="30:30">
      <c r="AD288" s="124"/>
    </row>
    <row r="289" spans="30:30">
      <c r="AD289" s="124"/>
    </row>
    <row r="290" spans="30:30">
      <c r="AD290" s="124"/>
    </row>
    <row r="291" spans="30:30">
      <c r="AD291" s="124"/>
    </row>
    <row r="292" spans="30:30">
      <c r="AD292" s="124"/>
    </row>
    <row r="293" spans="30:30">
      <c r="AD293" s="124"/>
    </row>
    <row r="294" spans="30:30">
      <c r="AD294" s="124"/>
    </row>
    <row r="295" spans="30:30">
      <c r="AD295" s="124"/>
    </row>
    <row r="296" spans="30:30">
      <c r="AD296" s="124"/>
    </row>
    <row r="297" spans="30:30">
      <c r="AD297" s="124"/>
    </row>
    <row r="298" spans="30:30">
      <c r="AD298" s="124"/>
    </row>
    <row r="299" spans="30:30">
      <c r="AD299" s="124"/>
    </row>
    <row r="300" spans="30:30">
      <c r="AD300" s="124"/>
    </row>
    <row r="301" spans="30:30">
      <c r="AD301" s="124"/>
    </row>
    <row r="302" spans="30:30">
      <c r="AD302" s="124"/>
    </row>
    <row r="303" spans="30:30">
      <c r="AD303" s="124"/>
    </row>
    <row r="304" spans="30:30">
      <c r="AD304" s="124"/>
    </row>
    <row r="305" spans="30:30">
      <c r="AD305" s="124"/>
    </row>
    <row r="306" spans="30:30">
      <c r="AD306" s="124"/>
    </row>
    <row r="307" spans="30:30">
      <c r="AD307" s="124"/>
    </row>
    <row r="308" spans="30:30">
      <c r="AD308" s="124"/>
    </row>
    <row r="309" spans="30:30">
      <c r="AD309" s="124"/>
    </row>
    <row r="310" spans="30:30">
      <c r="AD310" s="124"/>
    </row>
    <row r="311" spans="30:30">
      <c r="AD311" s="124"/>
    </row>
    <row r="312" spans="30:30">
      <c r="AD312" s="124"/>
    </row>
    <row r="313" spans="30:30">
      <c r="AD313" s="124"/>
    </row>
    <row r="314" spans="30:30">
      <c r="AD314" s="124"/>
    </row>
    <row r="315" spans="30:30">
      <c r="AD315" s="124"/>
    </row>
    <row r="316" spans="30:30">
      <c r="AD316" s="124"/>
    </row>
    <row r="317" spans="30:30">
      <c r="AD317" s="124"/>
    </row>
    <row r="318" spans="30:30">
      <c r="AD318" s="124"/>
    </row>
    <row r="319" spans="30:30">
      <c r="AD319" s="124"/>
    </row>
    <row r="320" spans="30:30">
      <c r="AD320" s="124"/>
    </row>
    <row r="321" spans="30:30">
      <c r="AD321" s="124"/>
    </row>
    <row r="322" spans="30:30">
      <c r="AD322" s="124"/>
    </row>
    <row r="323" spans="30:30">
      <c r="AD323" s="124"/>
    </row>
    <row r="324" spans="30:30">
      <c r="AD324" s="124"/>
    </row>
    <row r="325" spans="30:30">
      <c r="AD325" s="124"/>
    </row>
    <row r="326" spans="30:30">
      <c r="AD326" s="124"/>
    </row>
    <row r="327" spans="30:30">
      <c r="AD327" s="124"/>
    </row>
    <row r="328" spans="30:30">
      <c r="AD328" s="124"/>
    </row>
    <row r="329" spans="30:30">
      <c r="AD329" s="124"/>
    </row>
    <row r="330" spans="30:30">
      <c r="AD330" s="124"/>
    </row>
    <row r="331" spans="30:30">
      <c r="AD331" s="124"/>
    </row>
    <row r="332" spans="30:30">
      <c r="AD332" s="124"/>
    </row>
    <row r="333" spans="30:30">
      <c r="AD333" s="124"/>
    </row>
    <row r="334" spans="30:30">
      <c r="AD334" s="124"/>
    </row>
    <row r="335" spans="30:30">
      <c r="AD335" s="124"/>
    </row>
    <row r="336" spans="30:30">
      <c r="AD336" s="124"/>
    </row>
    <row r="337" spans="30:30">
      <c r="AD337" s="124"/>
    </row>
    <row r="338" spans="30:30">
      <c r="AD338" s="124"/>
    </row>
    <row r="339" spans="30:30">
      <c r="AD339" s="124"/>
    </row>
    <row r="340" spans="30:30">
      <c r="AD340" s="124"/>
    </row>
    <row r="341" spans="30:30">
      <c r="AD341" s="124"/>
    </row>
    <row r="342" spans="30:30">
      <c r="AD342" s="124"/>
    </row>
    <row r="343" spans="30:30">
      <c r="AD343" s="124"/>
    </row>
    <row r="344" spans="30:30">
      <c r="AD344" s="124"/>
    </row>
    <row r="345" spans="30:30">
      <c r="AD345" s="124"/>
    </row>
    <row r="346" spans="30:30">
      <c r="AD346" s="124"/>
    </row>
    <row r="347" spans="30:30">
      <c r="AD347" s="124"/>
    </row>
    <row r="348" spans="30:30">
      <c r="AD348" s="124"/>
    </row>
    <row r="349" spans="30:30">
      <c r="AD349" s="124"/>
    </row>
    <row r="350" spans="30:30">
      <c r="AD350" s="124"/>
    </row>
    <row r="351" spans="30:30">
      <c r="AD351" s="124"/>
    </row>
    <row r="352" spans="30:30">
      <c r="AD352" s="124"/>
    </row>
    <row r="353" spans="2:30">
      <c r="AD353" s="124"/>
    </row>
    <row r="354" spans="2:30">
      <c r="AB354" s="145"/>
      <c r="AD354" s="124"/>
    </row>
    <row r="355" spans="2:30">
      <c r="AD355" s="124"/>
    </row>
    <row r="358" spans="2:30">
      <c r="B358" s="231"/>
      <c r="C358" s="231"/>
      <c r="D358" s="231"/>
      <c r="E358" s="231"/>
      <c r="F358" s="231"/>
      <c r="G358" s="231"/>
      <c r="H358" s="231"/>
      <c r="I358" s="231"/>
      <c r="J358" s="231"/>
      <c r="K358" s="231"/>
    </row>
    <row r="359" spans="2:30">
      <c r="B359" s="231"/>
      <c r="C359" s="231"/>
      <c r="D359" s="231"/>
      <c r="E359" s="231"/>
      <c r="F359" s="231"/>
      <c r="G359" s="231"/>
      <c r="H359" s="231"/>
      <c r="I359" s="231"/>
      <c r="J359" s="231"/>
      <c r="K359" s="231"/>
      <c r="L359" s="231"/>
    </row>
  </sheetData>
  <mergeCells count="24">
    <mergeCell ref="T2:T3"/>
    <mergeCell ref="X2:X3"/>
    <mergeCell ref="Y2:Y3"/>
    <mergeCell ref="AB2:AB3"/>
    <mergeCell ref="B2:B3"/>
    <mergeCell ref="C2:C3"/>
    <mergeCell ref="D2:D3"/>
    <mergeCell ref="E2:E3"/>
    <mergeCell ref="AF2:AF3"/>
    <mergeCell ref="Q2:Q3"/>
    <mergeCell ref="P2:P3"/>
    <mergeCell ref="B1:N1"/>
    <mergeCell ref="P1:Z1"/>
    <mergeCell ref="F2:F3"/>
    <mergeCell ref="G2:G3"/>
    <mergeCell ref="H2:H3"/>
    <mergeCell ref="I2:K2"/>
    <mergeCell ref="L2:L3"/>
    <mergeCell ref="M2:M3"/>
    <mergeCell ref="N2:N3"/>
    <mergeCell ref="Z2:Z3"/>
    <mergeCell ref="AD2:AD3"/>
    <mergeCell ref="R2:R3"/>
    <mergeCell ref="S2:S3"/>
  </mergeCells>
  <conditionalFormatting sqref="A52:A56">
    <cfRule type="cellIs" dxfId="5" priority="1" stopIfTrue="1" operator="lessThan">
      <formula>0</formula>
    </cfRule>
  </conditionalFormatting>
  <pageMargins left="0.7" right="0.2" top="0.75" bottom="0.75" header="0.3" footer="0.3"/>
  <pageSetup paperSize="3" scale="54" orientation="landscape"/>
  <headerFooter>
    <oddHeader>&amp;CACTUAL PCS Facilities Expenditures - FY2012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213"/>
  <sheetViews>
    <sheetView zoomScale="80" zoomScaleNormal="80" zoomScalePageLayoutView="80" workbookViewId="0">
      <pane xSplit="1" ySplit="3" topLeftCell="T30" activePane="bottomRight" state="frozenSplit"/>
      <selection activeCell="A2" sqref="A2:A3"/>
      <selection pane="topRight" activeCell="A2" sqref="A2:A3"/>
      <selection pane="bottomLeft" activeCell="A2" sqref="A2:A3"/>
      <selection pane="bottomRight" activeCell="AF60" sqref="AF60"/>
    </sheetView>
  </sheetViews>
  <sheetFormatPr baseColWidth="10" defaultColWidth="11.5" defaultRowHeight="12" outlineLevelRow="1" x14ac:dyDescent="0"/>
  <cols>
    <col min="1" max="1" width="30.6640625" style="169" customWidth="1"/>
    <col min="2" max="2" width="12" style="169" bestFit="1" customWidth="1"/>
    <col min="3" max="4" width="14" style="169" customWidth="1"/>
    <col min="5" max="5" width="11" style="169" customWidth="1"/>
    <col min="6" max="6" width="12" style="169" bestFit="1" customWidth="1"/>
    <col min="7" max="7" width="10.6640625" style="169" bestFit="1" customWidth="1"/>
    <col min="8" max="8" width="13" style="169" customWidth="1"/>
    <col min="9" max="9" width="12.33203125" style="169" customWidth="1"/>
    <col min="10" max="10" width="12" style="169" bestFit="1" customWidth="1"/>
    <col min="11" max="11" width="10.6640625" style="169" bestFit="1" customWidth="1"/>
    <col min="12" max="12" width="13.1640625" style="169" customWidth="1"/>
    <col min="13" max="13" width="14.5" style="169" customWidth="1"/>
    <col min="14" max="14" width="14" style="169" customWidth="1"/>
    <col min="15" max="15" width="0.83203125" style="169" customWidth="1"/>
    <col min="16" max="17" width="12" style="169" bestFit="1" customWidth="1"/>
    <col min="18" max="19" width="10.6640625" style="169" bestFit="1" customWidth="1"/>
    <col min="20" max="20" width="13" style="169" customWidth="1"/>
    <col min="21" max="22" width="14.1640625" style="169" customWidth="1"/>
    <col min="23" max="23" width="12.6640625" style="169" customWidth="1"/>
    <col min="24" max="25" width="12" style="169" bestFit="1" customWidth="1"/>
    <col min="26" max="26" width="13.33203125" style="169" bestFit="1" customWidth="1"/>
    <col min="27" max="27" width="2" style="169" customWidth="1"/>
    <col min="28" max="28" width="15" style="169" customWidth="1"/>
    <col min="29" max="29" width="1.83203125" style="169" customWidth="1"/>
    <col min="30" max="30" width="15.6640625" style="169" customWidth="1"/>
    <col min="31" max="31" width="1.6640625" style="169" customWidth="1"/>
    <col min="32" max="32" width="13" style="169" customWidth="1"/>
    <col min="33" max="16384" width="11.5" style="169"/>
  </cols>
  <sheetData>
    <row r="1" spans="1:32" ht="12.75" customHeight="1">
      <c r="B1" s="293" t="s">
        <v>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P1" s="293" t="s">
        <v>7</v>
      </c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193"/>
    </row>
    <row r="2" spans="1:32" ht="12.75" customHeight="1">
      <c r="A2" s="295"/>
      <c r="B2" s="296" t="s">
        <v>19</v>
      </c>
      <c r="C2" s="296" t="s">
        <v>20</v>
      </c>
      <c r="D2" s="296" t="s">
        <v>1</v>
      </c>
      <c r="E2" s="296" t="s">
        <v>11</v>
      </c>
      <c r="F2" s="296" t="s">
        <v>2</v>
      </c>
      <c r="G2" s="296" t="s">
        <v>3</v>
      </c>
      <c r="H2" s="296" t="s">
        <v>22</v>
      </c>
      <c r="I2" s="297" t="s">
        <v>23</v>
      </c>
      <c r="J2" s="297"/>
      <c r="K2" s="297"/>
      <c r="L2" s="296" t="s">
        <v>24</v>
      </c>
      <c r="M2" s="296" t="s">
        <v>31</v>
      </c>
      <c r="N2" s="298" t="s">
        <v>6</v>
      </c>
      <c r="P2" s="292" t="s">
        <v>19</v>
      </c>
      <c r="Q2" s="292" t="s">
        <v>20</v>
      </c>
      <c r="R2" s="292" t="s">
        <v>2</v>
      </c>
      <c r="S2" s="292" t="s">
        <v>3</v>
      </c>
      <c r="T2" s="292" t="s">
        <v>25</v>
      </c>
      <c r="U2" s="170" t="s">
        <v>8</v>
      </c>
      <c r="V2" s="170"/>
      <c r="W2" s="170"/>
      <c r="X2" s="292" t="s">
        <v>26</v>
      </c>
      <c r="Y2" s="292" t="s">
        <v>31</v>
      </c>
      <c r="Z2" s="298" t="s">
        <v>12</v>
      </c>
      <c r="AA2" s="199"/>
      <c r="AB2" s="300" t="s">
        <v>13</v>
      </c>
      <c r="AC2" s="199"/>
      <c r="AD2" s="318" t="s">
        <v>181</v>
      </c>
      <c r="AF2" s="320" t="s">
        <v>180</v>
      </c>
    </row>
    <row r="3" spans="1:32" ht="54" customHeight="1">
      <c r="A3" s="295"/>
      <c r="B3" s="296"/>
      <c r="C3" s="296"/>
      <c r="D3" s="296"/>
      <c r="E3" s="296"/>
      <c r="F3" s="296"/>
      <c r="G3" s="296"/>
      <c r="H3" s="296"/>
      <c r="I3" s="171" t="s">
        <v>124</v>
      </c>
      <c r="J3" s="171" t="s">
        <v>5</v>
      </c>
      <c r="K3" s="172" t="s">
        <v>123</v>
      </c>
      <c r="L3" s="296"/>
      <c r="M3" s="296"/>
      <c r="N3" s="299"/>
      <c r="P3" s="292"/>
      <c r="Q3" s="292"/>
      <c r="R3" s="292"/>
      <c r="S3" s="292"/>
      <c r="T3" s="292"/>
      <c r="U3" s="173" t="s">
        <v>4</v>
      </c>
      <c r="V3" s="173" t="s">
        <v>9</v>
      </c>
      <c r="W3" s="173" t="s">
        <v>123</v>
      </c>
      <c r="X3" s="292"/>
      <c r="Y3" s="292"/>
      <c r="Z3" s="299"/>
      <c r="AA3" s="200"/>
      <c r="AB3" s="301"/>
      <c r="AC3" s="200"/>
      <c r="AD3" s="319"/>
      <c r="AF3" s="320"/>
    </row>
    <row r="4" spans="1:32">
      <c r="A4" s="219" t="s">
        <v>77</v>
      </c>
      <c r="B4" s="205"/>
      <c r="C4" s="205"/>
      <c r="D4" s="205">
        <v>850000</v>
      </c>
      <c r="E4" s="205"/>
      <c r="F4" s="205"/>
      <c r="G4" s="205"/>
      <c r="H4" s="205"/>
      <c r="I4" s="205"/>
      <c r="J4" s="205"/>
      <c r="K4" s="205"/>
      <c r="L4" s="205"/>
      <c r="M4" s="205"/>
      <c r="N4" s="205">
        <f t="shared" ref="N4:N28" si="0">SUM(B4:M4)</f>
        <v>850000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>
        <f t="shared" ref="AB4:AB13" si="1">Z4+N4</f>
        <v>850000</v>
      </c>
      <c r="AC4" s="205"/>
      <c r="AD4" s="229">
        <v>315</v>
      </c>
      <c r="AE4" s="220"/>
      <c r="AF4" s="221">
        <f>AB4/AD4</f>
        <v>2698.4126984126983</v>
      </c>
    </row>
    <row r="5" spans="1:32">
      <c r="A5" s="169" t="s">
        <v>78</v>
      </c>
      <c r="B5" s="175">
        <v>52200</v>
      </c>
      <c r="C5" s="175">
        <v>239186</v>
      </c>
      <c r="D5" s="175">
        <v>1740581</v>
      </c>
      <c r="E5" s="175">
        <v>7100</v>
      </c>
      <c r="F5" s="175"/>
      <c r="G5" s="175"/>
      <c r="H5" s="175">
        <v>184238</v>
      </c>
      <c r="I5" s="175"/>
      <c r="J5" s="175">
        <v>219792</v>
      </c>
      <c r="K5" s="175">
        <v>19554</v>
      </c>
      <c r="L5" s="175"/>
      <c r="M5" s="175"/>
      <c r="N5" s="205">
        <f t="shared" si="0"/>
        <v>2462651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205"/>
      <c r="AA5" s="175"/>
      <c r="AB5" s="207">
        <f t="shared" si="1"/>
        <v>2462651</v>
      </c>
      <c r="AC5" s="175"/>
      <c r="AD5" s="216">
        <v>642</v>
      </c>
      <c r="AF5" s="203">
        <f t="shared" ref="AF5:AF58" si="2">AB5/AD5</f>
        <v>3835.9049844236761</v>
      </c>
    </row>
    <row r="6" spans="1:32">
      <c r="A6" s="220" t="s">
        <v>79</v>
      </c>
      <c r="B6" s="205">
        <v>0</v>
      </c>
      <c r="C6" s="205">
        <v>0</v>
      </c>
      <c r="D6" s="205">
        <v>0</v>
      </c>
      <c r="E6" s="205">
        <v>0</v>
      </c>
      <c r="F6" s="205">
        <v>0</v>
      </c>
      <c r="G6" s="205">
        <v>0</v>
      </c>
      <c r="H6" s="205">
        <v>0</v>
      </c>
      <c r="I6" s="205">
        <v>0</v>
      </c>
      <c r="J6" s="205">
        <v>0</v>
      </c>
      <c r="K6" s="205">
        <v>0</v>
      </c>
      <c r="L6" s="205">
        <v>0</v>
      </c>
      <c r="M6" s="205">
        <v>0</v>
      </c>
      <c r="N6" s="205">
        <f t="shared" si="0"/>
        <v>0</v>
      </c>
      <c r="O6" s="205"/>
      <c r="P6" s="205">
        <v>165000</v>
      </c>
      <c r="Q6" s="205">
        <v>430000</v>
      </c>
      <c r="R6" s="205">
        <v>0</v>
      </c>
      <c r="S6" s="205">
        <v>26600</v>
      </c>
      <c r="T6" s="205">
        <v>805000</v>
      </c>
      <c r="U6" s="205">
        <v>270000</v>
      </c>
      <c r="V6" s="205">
        <v>230000</v>
      </c>
      <c r="W6" s="205">
        <v>10000</v>
      </c>
      <c r="X6" s="205">
        <v>116800</v>
      </c>
      <c r="Y6" s="205">
        <v>336000</v>
      </c>
      <c r="Z6" s="205">
        <f>SUM(P6:Y6)</f>
        <v>2389400</v>
      </c>
      <c r="AA6" s="205"/>
      <c r="AB6" s="205">
        <f t="shared" si="1"/>
        <v>2389400</v>
      </c>
      <c r="AC6" s="205"/>
      <c r="AD6" s="229">
        <v>628</v>
      </c>
      <c r="AE6" s="220"/>
      <c r="AF6" s="221">
        <f t="shared" si="2"/>
        <v>3804.7770700636943</v>
      </c>
    </row>
    <row r="7" spans="1:32">
      <c r="A7" s="169" t="s">
        <v>143</v>
      </c>
      <c r="B7" s="175">
        <v>80000</v>
      </c>
      <c r="C7" s="175">
        <v>75000</v>
      </c>
      <c r="D7" s="175">
        <v>1118250</v>
      </c>
      <c r="E7" s="175">
        <v>0</v>
      </c>
      <c r="F7" s="175">
        <v>0</v>
      </c>
      <c r="G7" s="175">
        <v>20000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205">
        <f t="shared" si="0"/>
        <v>1293250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205">
        <v>0</v>
      </c>
      <c r="AA7" s="175"/>
      <c r="AB7" s="207">
        <f t="shared" si="1"/>
        <v>1293250</v>
      </c>
      <c r="AC7" s="175"/>
      <c r="AD7" s="216">
        <v>445</v>
      </c>
      <c r="AF7" s="203">
        <f t="shared" si="2"/>
        <v>2906.1797752808989</v>
      </c>
    </row>
    <row r="8" spans="1:32">
      <c r="A8" s="220" t="s">
        <v>80</v>
      </c>
      <c r="B8" s="205">
        <v>75600</v>
      </c>
      <c r="C8" s="205">
        <v>23220</v>
      </c>
      <c r="D8" s="205">
        <v>1050000</v>
      </c>
      <c r="E8" s="205"/>
      <c r="F8" s="205">
        <v>120000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/>
      <c r="N8" s="205">
        <f t="shared" si="0"/>
        <v>1268820</v>
      </c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>
        <f t="shared" si="1"/>
        <v>1268820</v>
      </c>
      <c r="AC8" s="205"/>
      <c r="AD8" s="229">
        <v>400</v>
      </c>
      <c r="AE8" s="220"/>
      <c r="AF8" s="221">
        <f t="shared" si="2"/>
        <v>3172.05</v>
      </c>
    </row>
    <row r="9" spans="1:32">
      <c r="A9" s="169" t="s">
        <v>81</v>
      </c>
      <c r="B9" s="175">
        <v>48642</v>
      </c>
      <c r="C9" s="175">
        <v>58500</v>
      </c>
      <c r="D9" s="175">
        <v>221570</v>
      </c>
      <c r="E9" s="175">
        <v>0</v>
      </c>
      <c r="F9" s="175">
        <v>0</v>
      </c>
      <c r="G9" s="175">
        <v>22000</v>
      </c>
      <c r="H9" s="175">
        <v>10631</v>
      </c>
      <c r="I9" s="175">
        <v>0</v>
      </c>
      <c r="J9" s="175">
        <v>0</v>
      </c>
      <c r="K9" s="175">
        <v>0</v>
      </c>
      <c r="L9" s="175">
        <v>120000</v>
      </c>
      <c r="M9" s="175">
        <v>0</v>
      </c>
      <c r="N9" s="205">
        <f t="shared" si="0"/>
        <v>481343</v>
      </c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205">
        <f>SUM(P9:Y9)</f>
        <v>0</v>
      </c>
      <c r="AA9" s="175"/>
      <c r="AB9" s="207">
        <f t="shared" si="1"/>
        <v>481343</v>
      </c>
      <c r="AC9" s="175"/>
      <c r="AD9" s="216">
        <v>143</v>
      </c>
      <c r="AF9" s="203">
        <f t="shared" si="2"/>
        <v>3366.0349650349649</v>
      </c>
    </row>
    <row r="10" spans="1:32">
      <c r="A10" s="220" t="s">
        <v>82</v>
      </c>
      <c r="B10" s="205">
        <v>518000</v>
      </c>
      <c r="C10" s="205">
        <v>605430</v>
      </c>
      <c r="D10" s="205">
        <v>539033</v>
      </c>
      <c r="E10" s="205">
        <v>0</v>
      </c>
      <c r="F10" s="205">
        <v>0</v>
      </c>
      <c r="G10" s="205">
        <v>20791</v>
      </c>
      <c r="H10" s="205">
        <v>1014620</v>
      </c>
      <c r="I10" s="205">
        <v>773047</v>
      </c>
      <c r="J10" s="205">
        <v>320000</v>
      </c>
      <c r="K10" s="205">
        <v>134348</v>
      </c>
      <c r="L10" s="205">
        <v>0</v>
      </c>
      <c r="M10" s="205">
        <v>0</v>
      </c>
      <c r="N10" s="205">
        <f t="shared" si="0"/>
        <v>3925269</v>
      </c>
      <c r="O10" s="205"/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  <c r="W10" s="205">
        <v>0</v>
      </c>
      <c r="X10" s="205"/>
      <c r="Y10" s="205"/>
      <c r="Z10" s="205">
        <f>SUM(P10:Y10)</f>
        <v>0</v>
      </c>
      <c r="AA10" s="205"/>
      <c r="AB10" s="205">
        <f t="shared" si="1"/>
        <v>3925269</v>
      </c>
      <c r="AC10" s="205"/>
      <c r="AD10" s="229">
        <v>950</v>
      </c>
      <c r="AE10" s="220"/>
      <c r="AF10" s="221">
        <f t="shared" si="2"/>
        <v>4131.8621052631579</v>
      </c>
    </row>
    <row r="11" spans="1:32">
      <c r="A11" s="169" t="s">
        <v>83</v>
      </c>
      <c r="B11" s="175">
        <v>0</v>
      </c>
      <c r="C11" s="175">
        <v>0</v>
      </c>
      <c r="D11" s="175">
        <v>3211989</v>
      </c>
      <c r="E11" s="175">
        <v>0</v>
      </c>
      <c r="F11" s="175">
        <v>0</v>
      </c>
      <c r="G11" s="175">
        <v>0</v>
      </c>
      <c r="H11" s="175">
        <v>990000</v>
      </c>
      <c r="I11" s="175">
        <v>0</v>
      </c>
      <c r="J11" s="175">
        <v>0</v>
      </c>
      <c r="K11" s="175">
        <v>0</v>
      </c>
      <c r="L11" s="175">
        <v>1702832</v>
      </c>
      <c r="M11" s="175">
        <v>2200000</v>
      </c>
      <c r="N11" s="205">
        <f t="shared" si="0"/>
        <v>8104821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205">
        <f>SUM(P11:Y11)</f>
        <v>0</v>
      </c>
      <c r="AA11" s="175"/>
      <c r="AB11" s="207">
        <f t="shared" si="1"/>
        <v>8104821</v>
      </c>
      <c r="AC11" s="175"/>
      <c r="AD11" s="216">
        <v>1750</v>
      </c>
      <c r="AF11" s="203">
        <f t="shared" si="2"/>
        <v>4631.3262857142854</v>
      </c>
    </row>
    <row r="12" spans="1:32">
      <c r="A12" s="220" t="s">
        <v>84</v>
      </c>
      <c r="B12" s="205">
        <v>420000</v>
      </c>
      <c r="C12" s="205">
        <v>829874</v>
      </c>
      <c r="D12" s="205">
        <v>2120000</v>
      </c>
      <c r="E12" s="205">
        <v>0</v>
      </c>
      <c r="F12" s="205">
        <v>0</v>
      </c>
      <c r="G12" s="205">
        <v>29000</v>
      </c>
      <c r="H12" s="205">
        <v>867325</v>
      </c>
      <c r="I12" s="205"/>
      <c r="J12" s="205"/>
      <c r="K12" s="205"/>
      <c r="L12" s="205">
        <v>409575</v>
      </c>
      <c r="M12" s="205"/>
      <c r="N12" s="205">
        <f t="shared" si="0"/>
        <v>4675774</v>
      </c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>
        <f>SUM(P12:Y12)</f>
        <v>0</v>
      </c>
      <c r="AA12" s="205"/>
      <c r="AB12" s="205">
        <f t="shared" si="1"/>
        <v>4675774</v>
      </c>
      <c r="AC12" s="205"/>
      <c r="AD12" s="229">
        <v>1381</v>
      </c>
      <c r="AE12" s="220"/>
      <c r="AF12" s="221">
        <f t="shared" si="2"/>
        <v>3385.7885590152064</v>
      </c>
    </row>
    <row r="13" spans="1:32">
      <c r="A13" s="169" t="s">
        <v>85</v>
      </c>
      <c r="B13" s="175">
        <v>118368</v>
      </c>
      <c r="C13" s="175">
        <v>628672</v>
      </c>
      <c r="D13" s="175">
        <v>528489</v>
      </c>
      <c r="E13" s="175">
        <v>242500</v>
      </c>
      <c r="F13" s="175">
        <v>0</v>
      </c>
      <c r="G13" s="175">
        <v>33875</v>
      </c>
      <c r="H13" s="175">
        <v>602308</v>
      </c>
      <c r="I13" s="175">
        <v>0</v>
      </c>
      <c r="J13" s="175">
        <v>0</v>
      </c>
      <c r="K13" s="175">
        <v>0</v>
      </c>
      <c r="L13" s="175">
        <v>100000</v>
      </c>
      <c r="M13" s="175">
        <v>0</v>
      </c>
      <c r="N13" s="205">
        <f t="shared" si="0"/>
        <v>2254212</v>
      </c>
      <c r="O13" s="175"/>
      <c r="P13" s="175">
        <v>208500</v>
      </c>
      <c r="Q13" s="175">
        <v>351912</v>
      </c>
      <c r="R13" s="175"/>
      <c r="S13" s="175">
        <v>33875</v>
      </c>
      <c r="T13" s="175">
        <v>499560</v>
      </c>
      <c r="U13" s="175">
        <v>974507</v>
      </c>
      <c r="V13" s="175">
        <v>425000</v>
      </c>
      <c r="W13" s="175">
        <v>0</v>
      </c>
      <c r="X13" s="175">
        <v>20000</v>
      </c>
      <c r="Y13" s="175"/>
      <c r="Z13" s="205">
        <f>SUM(P13:Y13)</f>
        <v>2513354</v>
      </c>
      <c r="AA13" s="175"/>
      <c r="AB13" s="207">
        <f t="shared" si="1"/>
        <v>4767566</v>
      </c>
      <c r="AC13" s="175"/>
      <c r="AD13" s="216">
        <v>1432</v>
      </c>
      <c r="AF13" s="203">
        <f t="shared" si="2"/>
        <v>3329.3058659217877</v>
      </c>
    </row>
    <row r="14" spans="1:32">
      <c r="A14" s="219" t="s">
        <v>86</v>
      </c>
      <c r="B14" s="205">
        <v>348276</v>
      </c>
      <c r="C14" s="205">
        <v>332778</v>
      </c>
      <c r="D14" s="205">
        <v>793011</v>
      </c>
      <c r="E14" s="205">
        <v>0</v>
      </c>
      <c r="F14" s="205">
        <v>0</v>
      </c>
      <c r="G14" s="205">
        <v>15724</v>
      </c>
      <c r="H14" s="205">
        <v>753892</v>
      </c>
      <c r="I14" s="205">
        <v>9367</v>
      </c>
      <c r="J14" s="205">
        <v>1421137</v>
      </c>
      <c r="K14" s="205"/>
      <c r="L14" s="205"/>
      <c r="M14" s="205"/>
      <c r="N14" s="205">
        <f t="shared" si="0"/>
        <v>3674185</v>
      </c>
      <c r="O14" s="205"/>
      <c r="P14" s="205">
        <v>321924</v>
      </c>
      <c r="Q14" s="205">
        <v>363195</v>
      </c>
      <c r="R14" s="205">
        <v>0</v>
      </c>
      <c r="S14" s="205">
        <v>8839</v>
      </c>
      <c r="T14" s="205">
        <v>872504</v>
      </c>
      <c r="U14" s="205">
        <v>1154490</v>
      </c>
      <c r="V14" s="205">
        <v>495000</v>
      </c>
      <c r="W14" s="205">
        <v>140655</v>
      </c>
      <c r="X14" s="205">
        <v>0</v>
      </c>
      <c r="Y14" s="205">
        <v>1000000</v>
      </c>
      <c r="Z14" s="205">
        <f>SUM(Q14:Y14)</f>
        <v>4034683</v>
      </c>
      <c r="AA14" s="205"/>
      <c r="AB14" s="205">
        <v>8030792</v>
      </c>
      <c r="AC14" s="205"/>
      <c r="AD14" s="229">
        <v>1702</v>
      </c>
      <c r="AE14" s="220"/>
      <c r="AF14" s="221">
        <f t="shared" si="2"/>
        <v>4718.4441833137489</v>
      </c>
    </row>
    <row r="15" spans="1:32">
      <c r="A15" s="169" t="s">
        <v>144</v>
      </c>
      <c r="B15" s="175">
        <v>28469</v>
      </c>
      <c r="C15" s="175">
        <v>51245</v>
      </c>
      <c r="D15" s="175">
        <v>204167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10000</v>
      </c>
      <c r="M15" s="175">
        <v>0</v>
      </c>
      <c r="N15" s="205">
        <f t="shared" si="0"/>
        <v>293881</v>
      </c>
      <c r="O15" s="175"/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205">
        <v>0</v>
      </c>
      <c r="AA15" s="175"/>
      <c r="AB15" s="207">
        <f t="shared" ref="AB15:AB28" si="3">Z15+N15</f>
        <v>293881</v>
      </c>
      <c r="AC15" s="175"/>
      <c r="AD15" s="216">
        <v>105</v>
      </c>
      <c r="AF15" s="203">
        <f t="shared" si="2"/>
        <v>2798.8666666666668</v>
      </c>
    </row>
    <row r="16" spans="1:32">
      <c r="A16" s="220" t="s">
        <v>87</v>
      </c>
      <c r="B16" s="205">
        <v>163027</v>
      </c>
      <c r="C16" s="205">
        <v>75250</v>
      </c>
      <c r="D16" s="205">
        <v>961956</v>
      </c>
      <c r="E16" s="205">
        <v>0</v>
      </c>
      <c r="F16" s="205">
        <v>0</v>
      </c>
      <c r="G16" s="205">
        <v>29616</v>
      </c>
      <c r="H16" s="205">
        <v>110000</v>
      </c>
      <c r="I16" s="205"/>
      <c r="J16" s="205"/>
      <c r="K16" s="205"/>
      <c r="L16" s="205"/>
      <c r="M16" s="205"/>
      <c r="N16" s="205">
        <f t="shared" si="0"/>
        <v>1339849</v>
      </c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>
        <f t="shared" si="3"/>
        <v>1339849</v>
      </c>
      <c r="AC16" s="205"/>
      <c r="AD16" s="229">
        <v>360</v>
      </c>
      <c r="AE16" s="220"/>
      <c r="AF16" s="221">
        <f t="shared" si="2"/>
        <v>3721.8027777777779</v>
      </c>
    </row>
    <row r="17" spans="1:32">
      <c r="A17" s="169" t="s">
        <v>88</v>
      </c>
      <c r="B17" s="175">
        <v>0</v>
      </c>
      <c r="C17" s="175">
        <f>'[6]Consolidated LEA'!$C$3</f>
        <v>2060</v>
      </c>
      <c r="D17" s="175">
        <f>'[6]Consolidated LEA'!$C$4</f>
        <v>1095692</v>
      </c>
      <c r="E17" s="175"/>
      <c r="F17" s="175"/>
      <c r="G17" s="175"/>
      <c r="H17" s="175">
        <f>'[6]Consolidated LEA'!$C$8</f>
        <v>35227</v>
      </c>
      <c r="I17" s="175"/>
      <c r="J17" s="175"/>
      <c r="K17" s="175"/>
      <c r="L17" s="175"/>
      <c r="M17" s="175"/>
      <c r="N17" s="205">
        <f t="shared" si="0"/>
        <v>1132979</v>
      </c>
      <c r="O17" s="175"/>
      <c r="P17" s="175">
        <v>200000</v>
      </c>
      <c r="Q17" s="175">
        <v>428963</v>
      </c>
      <c r="R17" s="175">
        <v>0</v>
      </c>
      <c r="S17" s="175">
        <v>20029</v>
      </c>
      <c r="T17" s="175">
        <v>478992</v>
      </c>
      <c r="U17" s="175">
        <v>169776</v>
      </c>
      <c r="V17" s="175">
        <v>402084</v>
      </c>
      <c r="W17" s="175">
        <v>231511</v>
      </c>
      <c r="X17" s="175">
        <v>0</v>
      </c>
      <c r="Y17" s="175">
        <v>0</v>
      </c>
      <c r="Z17" s="205">
        <f>SUM(P17:Y17)</f>
        <v>1931355</v>
      </c>
      <c r="AA17" s="175"/>
      <c r="AB17" s="207">
        <f t="shared" si="3"/>
        <v>3064334</v>
      </c>
      <c r="AC17" s="175"/>
      <c r="AD17" s="216">
        <v>1100</v>
      </c>
      <c r="AF17" s="203">
        <f t="shared" si="2"/>
        <v>2785.758181818182</v>
      </c>
    </row>
    <row r="18" spans="1:32">
      <c r="A18" s="220" t="s">
        <v>145</v>
      </c>
      <c r="B18" s="205"/>
      <c r="C18" s="205">
        <v>46000</v>
      </c>
      <c r="D18" s="205">
        <v>265452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208000</v>
      </c>
      <c r="M18" s="205"/>
      <c r="N18" s="205">
        <f t="shared" si="0"/>
        <v>519452</v>
      </c>
      <c r="O18" s="205"/>
      <c r="P18" s="205">
        <v>0</v>
      </c>
      <c r="Q18" s="205">
        <v>0</v>
      </c>
      <c r="R18" s="205">
        <v>0</v>
      </c>
      <c r="S18" s="205">
        <v>0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/>
      <c r="AA18" s="205"/>
      <c r="AB18" s="205">
        <f t="shared" si="3"/>
        <v>519452</v>
      </c>
      <c r="AC18" s="205"/>
      <c r="AD18" s="229">
        <v>183</v>
      </c>
      <c r="AE18" s="220"/>
      <c r="AF18" s="221">
        <f t="shared" si="2"/>
        <v>2838.5355191256831</v>
      </c>
    </row>
    <row r="19" spans="1:32">
      <c r="A19" s="169" t="s">
        <v>89</v>
      </c>
      <c r="B19" s="175">
        <v>0</v>
      </c>
      <c r="C19" s="175">
        <v>0</v>
      </c>
      <c r="D19" s="175">
        <v>355894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205">
        <f t="shared" si="0"/>
        <v>355894</v>
      </c>
      <c r="O19" s="175"/>
      <c r="P19" s="175">
        <v>485755</v>
      </c>
      <c r="Q19" s="175">
        <v>103920</v>
      </c>
      <c r="R19" s="175">
        <v>0</v>
      </c>
      <c r="S19" s="175">
        <v>0</v>
      </c>
      <c r="T19" s="175">
        <v>1022020</v>
      </c>
      <c r="U19" s="175">
        <v>2668782</v>
      </c>
      <c r="V19" s="175">
        <v>-653272</v>
      </c>
      <c r="W19" s="175">
        <v>0</v>
      </c>
      <c r="X19" s="175">
        <v>0</v>
      </c>
      <c r="Y19" s="175">
        <v>0</v>
      </c>
      <c r="Z19" s="205">
        <f>SUM(P19:Y19)</f>
        <v>3627205</v>
      </c>
      <c r="AA19" s="175"/>
      <c r="AB19" s="207">
        <f t="shared" si="3"/>
        <v>3983099</v>
      </c>
      <c r="AC19" s="175"/>
      <c r="AD19" s="216">
        <v>952</v>
      </c>
      <c r="AF19" s="203">
        <f t="shared" si="2"/>
        <v>4183.9275210084033</v>
      </c>
    </row>
    <row r="20" spans="1:32">
      <c r="A20" s="220" t="s">
        <v>90</v>
      </c>
      <c r="B20" s="205">
        <v>0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/>
      <c r="P20" s="205">
        <v>95503</v>
      </c>
      <c r="Q20" s="205">
        <v>243107</v>
      </c>
      <c r="R20" s="205">
        <v>0</v>
      </c>
      <c r="S20" s="205">
        <v>41000</v>
      </c>
      <c r="T20" s="205">
        <v>275000</v>
      </c>
      <c r="U20" s="205">
        <v>300000</v>
      </c>
      <c r="V20" s="205">
        <v>235353</v>
      </c>
      <c r="W20" s="205">
        <v>0</v>
      </c>
      <c r="X20" s="205">
        <v>0</v>
      </c>
      <c r="Y20" s="205">
        <v>0</v>
      </c>
      <c r="Z20" s="205">
        <f>SUM(P20:Y20)</f>
        <v>1189963</v>
      </c>
      <c r="AA20" s="205"/>
      <c r="AB20" s="205">
        <f t="shared" si="3"/>
        <v>1189963</v>
      </c>
      <c r="AC20" s="205"/>
      <c r="AD20" s="229">
        <v>350</v>
      </c>
      <c r="AE20" s="220"/>
      <c r="AF20" s="221">
        <f t="shared" si="2"/>
        <v>3399.8942857142856</v>
      </c>
    </row>
    <row r="21" spans="1:32">
      <c r="A21" s="169" t="s">
        <v>91</v>
      </c>
      <c r="B21" s="175">
        <v>346613</v>
      </c>
      <c r="C21" s="175">
        <v>4000</v>
      </c>
      <c r="D21" s="175">
        <v>279913</v>
      </c>
      <c r="E21" s="175">
        <v>39160</v>
      </c>
      <c r="F21" s="175">
        <v>160991</v>
      </c>
      <c r="G21" s="175">
        <v>37728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205">
        <f t="shared" si="0"/>
        <v>868405</v>
      </c>
      <c r="O21" s="175"/>
      <c r="P21" s="175">
        <v>19901</v>
      </c>
      <c r="Q21" s="175">
        <v>15000</v>
      </c>
      <c r="R21" s="175">
        <v>0</v>
      </c>
      <c r="S21" s="175">
        <v>0</v>
      </c>
      <c r="T21" s="175">
        <v>650000</v>
      </c>
      <c r="U21" s="175">
        <v>451388</v>
      </c>
      <c r="V21" s="175">
        <v>0</v>
      </c>
      <c r="W21" s="175">
        <v>0</v>
      </c>
      <c r="X21" s="175">
        <v>24000</v>
      </c>
      <c r="Y21" s="175"/>
      <c r="Z21" s="205">
        <f>SUM(P21:Y21)</f>
        <v>1160289</v>
      </c>
      <c r="AA21" s="175"/>
      <c r="AB21" s="207">
        <f t="shared" si="3"/>
        <v>2028694</v>
      </c>
      <c r="AC21" s="175"/>
      <c r="AD21" s="216">
        <v>767</v>
      </c>
      <c r="AF21" s="203">
        <f t="shared" si="2"/>
        <v>2644.9726205997395</v>
      </c>
    </row>
    <row r="22" spans="1:32">
      <c r="A22" s="220" t="s">
        <v>92</v>
      </c>
      <c r="B22" s="205">
        <v>43180</v>
      </c>
      <c r="C22" s="205">
        <v>108218</v>
      </c>
      <c r="D22" s="205">
        <v>358196</v>
      </c>
      <c r="E22" s="205">
        <v>0</v>
      </c>
      <c r="F22" s="205">
        <v>0</v>
      </c>
      <c r="G22" s="205">
        <v>0</v>
      </c>
      <c r="H22" s="205">
        <v>19557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f t="shared" si="0"/>
        <v>529151</v>
      </c>
      <c r="O22" s="205"/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5">
        <v>0</v>
      </c>
      <c r="Z22" s="205">
        <f>SUM(P22:Y22)</f>
        <v>0</v>
      </c>
      <c r="AA22" s="205"/>
      <c r="AB22" s="205">
        <f t="shared" si="3"/>
        <v>529151</v>
      </c>
      <c r="AC22" s="205"/>
      <c r="AD22" s="229">
        <v>247</v>
      </c>
      <c r="AE22" s="220"/>
      <c r="AF22" s="221">
        <f t="shared" si="2"/>
        <v>2142.3117408906883</v>
      </c>
    </row>
    <row r="23" spans="1:32">
      <c r="A23" s="169" t="s">
        <v>93</v>
      </c>
      <c r="B23" s="175">
        <v>0</v>
      </c>
      <c r="C23" s="175">
        <v>17566</v>
      </c>
      <c r="D23" s="175">
        <v>239052</v>
      </c>
      <c r="E23" s="175"/>
      <c r="F23" s="175">
        <v>0</v>
      </c>
      <c r="G23" s="175">
        <v>6912</v>
      </c>
      <c r="H23" s="175">
        <v>146176</v>
      </c>
      <c r="I23" s="175">
        <v>83441</v>
      </c>
      <c r="J23" s="175">
        <v>15337</v>
      </c>
      <c r="K23" s="175">
        <v>0</v>
      </c>
      <c r="L23" s="175">
        <v>0</v>
      </c>
      <c r="M23" s="175">
        <v>0</v>
      </c>
      <c r="N23" s="205">
        <f t="shared" si="0"/>
        <v>508484</v>
      </c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205">
        <f>SUM(P23:Y23)</f>
        <v>0</v>
      </c>
      <c r="AA23" s="175"/>
      <c r="AB23" s="207">
        <f t="shared" si="3"/>
        <v>508484</v>
      </c>
      <c r="AC23" s="175"/>
      <c r="AD23" s="216">
        <v>331</v>
      </c>
      <c r="AF23" s="203">
        <f t="shared" si="2"/>
        <v>1536.2054380664651</v>
      </c>
    </row>
    <row r="24" spans="1:32">
      <c r="A24" s="219" t="s">
        <v>94</v>
      </c>
      <c r="B24" s="205">
        <v>0</v>
      </c>
      <c r="C24" s="205">
        <v>6806</v>
      </c>
      <c r="D24" s="205">
        <v>1225980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f t="shared" si="0"/>
        <v>1232786</v>
      </c>
      <c r="O24" s="205"/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/>
      <c r="AB24" s="205">
        <f t="shared" si="3"/>
        <v>1232786</v>
      </c>
      <c r="AC24" s="205"/>
      <c r="AD24" s="229">
        <v>514</v>
      </c>
      <c r="AE24" s="220"/>
      <c r="AF24" s="221">
        <f t="shared" si="2"/>
        <v>2398.4163424124513</v>
      </c>
    </row>
    <row r="25" spans="1:32">
      <c r="A25" s="169" t="s">
        <v>95</v>
      </c>
      <c r="B25" s="175">
        <v>0</v>
      </c>
      <c r="C25" s="175">
        <v>0</v>
      </c>
      <c r="D25" s="175">
        <v>0</v>
      </c>
      <c r="E25" s="175"/>
      <c r="F25" s="175"/>
      <c r="G25" s="175"/>
      <c r="H25" s="175">
        <v>0</v>
      </c>
      <c r="I25" s="175">
        <v>0</v>
      </c>
      <c r="J25" s="175"/>
      <c r="K25" s="175"/>
      <c r="L25" s="175">
        <v>0</v>
      </c>
      <c r="M25" s="175"/>
      <c r="N25" s="205">
        <f t="shared" si="0"/>
        <v>0</v>
      </c>
      <c r="O25" s="175"/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205">
        <v>0</v>
      </c>
      <c r="AA25" s="175"/>
      <c r="AB25" s="207">
        <f t="shared" si="3"/>
        <v>0</v>
      </c>
      <c r="AC25" s="175"/>
      <c r="AD25" s="216">
        <v>0</v>
      </c>
      <c r="AF25" s="203" t="s">
        <v>45</v>
      </c>
    </row>
    <row r="26" spans="1:32">
      <c r="A26" s="220" t="s">
        <v>96</v>
      </c>
      <c r="B26" s="205">
        <v>185000</v>
      </c>
      <c r="C26" s="205">
        <v>115000</v>
      </c>
      <c r="D26" s="205">
        <v>2653867</v>
      </c>
      <c r="E26" s="205"/>
      <c r="F26" s="205"/>
      <c r="G26" s="205">
        <v>44640</v>
      </c>
      <c r="H26" s="205">
        <v>107473</v>
      </c>
      <c r="I26" s="205"/>
      <c r="J26" s="205"/>
      <c r="K26" s="205"/>
      <c r="L26" s="205"/>
      <c r="M26" s="205"/>
      <c r="N26" s="205">
        <f t="shared" si="0"/>
        <v>3105980</v>
      </c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>
        <f>SUM(P26:Y26)</f>
        <v>0</v>
      </c>
      <c r="AA26" s="205"/>
      <c r="AB26" s="205">
        <f t="shared" si="3"/>
        <v>3105980</v>
      </c>
      <c r="AC26" s="205"/>
      <c r="AD26" s="229">
        <v>832</v>
      </c>
      <c r="AE26" s="220"/>
      <c r="AF26" s="221">
        <f t="shared" si="2"/>
        <v>3733.1490384615386</v>
      </c>
    </row>
    <row r="27" spans="1:32">
      <c r="A27" s="169" t="s">
        <v>97</v>
      </c>
      <c r="B27" s="175">
        <v>0</v>
      </c>
      <c r="C27" s="175">
        <v>170000</v>
      </c>
      <c r="D27" s="175">
        <v>0</v>
      </c>
      <c r="E27" s="175">
        <v>0</v>
      </c>
      <c r="F27" s="175">
        <v>0</v>
      </c>
      <c r="G27" s="175">
        <v>0</v>
      </c>
      <c r="H27" s="175">
        <v>55000</v>
      </c>
      <c r="I27" s="175"/>
      <c r="J27" s="175"/>
      <c r="K27" s="175"/>
      <c r="L27" s="175">
        <v>0</v>
      </c>
      <c r="M27" s="175"/>
      <c r="N27" s="205">
        <f t="shared" si="0"/>
        <v>225000</v>
      </c>
      <c r="O27" s="175"/>
      <c r="P27" s="175">
        <v>25000</v>
      </c>
      <c r="Q27" s="175">
        <v>0</v>
      </c>
      <c r="R27" s="175">
        <v>0</v>
      </c>
      <c r="S27" s="175">
        <v>4945</v>
      </c>
      <c r="T27" s="175">
        <v>308160</v>
      </c>
      <c r="U27" s="175">
        <v>180353</v>
      </c>
      <c r="V27" s="175">
        <v>208580</v>
      </c>
      <c r="W27" s="175">
        <v>155741</v>
      </c>
      <c r="X27" s="175">
        <v>120089</v>
      </c>
      <c r="Y27" s="175">
        <v>100800</v>
      </c>
      <c r="Z27" s="205">
        <f>SUM(P27:Y27)</f>
        <v>1103668</v>
      </c>
      <c r="AA27" s="175"/>
      <c r="AB27" s="207">
        <f t="shared" si="3"/>
        <v>1328668</v>
      </c>
      <c r="AC27" s="175"/>
      <c r="AD27" s="216">
        <v>201</v>
      </c>
      <c r="AF27" s="203">
        <f t="shared" si="2"/>
        <v>6610.2885572139303</v>
      </c>
    </row>
    <row r="28" spans="1:32">
      <c r="A28" s="220" t="s">
        <v>98</v>
      </c>
      <c r="B28" s="205">
        <v>52990</v>
      </c>
      <c r="C28" s="205">
        <v>111540</v>
      </c>
      <c r="D28" s="205">
        <v>272832</v>
      </c>
      <c r="E28" s="205">
        <v>0</v>
      </c>
      <c r="F28" s="205">
        <v>0</v>
      </c>
      <c r="G28" s="205">
        <v>10596</v>
      </c>
      <c r="H28" s="205"/>
      <c r="I28" s="205"/>
      <c r="J28" s="205"/>
      <c r="K28" s="205"/>
      <c r="L28" s="205">
        <v>10000</v>
      </c>
      <c r="M28" s="205"/>
      <c r="N28" s="205">
        <f t="shared" si="0"/>
        <v>457958</v>
      </c>
      <c r="O28" s="205"/>
      <c r="P28" s="205">
        <v>166610</v>
      </c>
      <c r="Q28" s="205">
        <v>390460</v>
      </c>
      <c r="R28" s="205">
        <v>0</v>
      </c>
      <c r="S28" s="205">
        <v>37400</v>
      </c>
      <c r="T28" s="205">
        <v>199000</v>
      </c>
      <c r="U28" s="205">
        <v>323726</v>
      </c>
      <c r="V28" s="205">
        <v>353661</v>
      </c>
      <c r="W28" s="205">
        <v>32000</v>
      </c>
      <c r="X28" s="205">
        <v>20000</v>
      </c>
      <c r="Y28" s="205">
        <v>210573</v>
      </c>
      <c r="Z28" s="205">
        <f>SUM(P28:Y28)</f>
        <v>1733430</v>
      </c>
      <c r="AA28" s="205"/>
      <c r="AB28" s="205">
        <f t="shared" si="3"/>
        <v>2191388</v>
      </c>
      <c r="AC28" s="205"/>
      <c r="AD28" s="229">
        <v>684</v>
      </c>
      <c r="AE28" s="220"/>
      <c r="AF28" s="221">
        <f t="shared" si="2"/>
        <v>3203.7836257309941</v>
      </c>
    </row>
    <row r="29" spans="1:32">
      <c r="A29" s="169" t="s">
        <v>99</v>
      </c>
      <c r="B29" s="175">
        <v>50000</v>
      </c>
      <c r="C29" s="175">
        <v>20000</v>
      </c>
      <c r="D29" s="175">
        <v>1009000</v>
      </c>
      <c r="E29" s="175">
        <v>0</v>
      </c>
      <c r="F29" s="175">
        <v>0</v>
      </c>
      <c r="G29" s="175">
        <v>0</v>
      </c>
      <c r="H29" s="175">
        <v>2286</v>
      </c>
      <c r="I29" s="175">
        <v>0</v>
      </c>
      <c r="J29" s="175">
        <v>0</v>
      </c>
      <c r="K29" s="175"/>
      <c r="L29" s="175">
        <v>10000</v>
      </c>
      <c r="M29" s="175">
        <v>0</v>
      </c>
      <c r="N29" s="205">
        <v>1091286</v>
      </c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205"/>
      <c r="AA29" s="175"/>
      <c r="AB29" s="207">
        <v>1091286</v>
      </c>
      <c r="AC29" s="175"/>
      <c r="AD29" s="216">
        <v>316</v>
      </c>
      <c r="AF29" s="203">
        <f t="shared" si="2"/>
        <v>3453.4367088607596</v>
      </c>
    </row>
    <row r="30" spans="1:32">
      <c r="A30" s="220" t="s">
        <v>100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>
        <f>SUM(B30:M30)</f>
        <v>0</v>
      </c>
      <c r="O30" s="205"/>
      <c r="P30" s="205">
        <v>200000</v>
      </c>
      <c r="Q30" s="205">
        <v>331642</v>
      </c>
      <c r="R30" s="205">
        <v>0</v>
      </c>
      <c r="S30" s="205">
        <v>0</v>
      </c>
      <c r="T30" s="205">
        <v>414960</v>
      </c>
      <c r="U30" s="205">
        <v>373500</v>
      </c>
      <c r="V30" s="205">
        <v>0</v>
      </c>
      <c r="W30" s="205">
        <v>0</v>
      </c>
      <c r="X30" s="205">
        <v>35000</v>
      </c>
      <c r="Y30" s="205">
        <v>0</v>
      </c>
      <c r="Z30" s="205">
        <f>SUM(P30:Y30)</f>
        <v>1355102</v>
      </c>
      <c r="AA30" s="205"/>
      <c r="AB30" s="205">
        <f t="shared" ref="AB30:AB35" si="4">Z30+N30</f>
        <v>1355102</v>
      </c>
      <c r="AC30" s="205"/>
      <c r="AD30" s="229">
        <v>317</v>
      </c>
      <c r="AE30" s="220"/>
      <c r="AF30" s="221">
        <f t="shared" si="2"/>
        <v>4274.7697160883281</v>
      </c>
    </row>
    <row r="31" spans="1:32">
      <c r="A31" s="169" t="s">
        <v>101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205">
        <f>SUM(B31:M31)</f>
        <v>0</v>
      </c>
      <c r="O31" s="175"/>
      <c r="P31" s="175"/>
      <c r="Q31" s="175" t="s">
        <v>146</v>
      </c>
      <c r="R31" s="175">
        <v>0</v>
      </c>
      <c r="S31" s="175"/>
      <c r="T31" s="175"/>
      <c r="U31" s="175"/>
      <c r="V31" s="175"/>
      <c r="W31" s="175"/>
      <c r="X31" s="175"/>
      <c r="Y31" s="175"/>
      <c r="Z31" s="205">
        <f>SUM(P31:Y31)</f>
        <v>0</v>
      </c>
      <c r="AA31" s="175"/>
      <c r="AB31" s="207">
        <f t="shared" si="4"/>
        <v>0</v>
      </c>
      <c r="AC31" s="175"/>
      <c r="AD31" s="216">
        <v>0</v>
      </c>
      <c r="AF31" s="203" t="s">
        <v>45</v>
      </c>
    </row>
    <row r="32" spans="1:32">
      <c r="A32" s="220" t="s">
        <v>102</v>
      </c>
      <c r="B32" s="205">
        <v>150874</v>
      </c>
      <c r="C32" s="205">
        <v>97099</v>
      </c>
      <c r="D32" s="205">
        <v>1400323</v>
      </c>
      <c r="E32" s="205">
        <v>0</v>
      </c>
      <c r="F32" s="205">
        <v>0</v>
      </c>
      <c r="G32" s="205">
        <v>30000</v>
      </c>
      <c r="H32" s="205">
        <v>0</v>
      </c>
      <c r="I32" s="205">
        <v>0</v>
      </c>
      <c r="J32" s="205"/>
      <c r="K32" s="205">
        <v>0</v>
      </c>
      <c r="L32" s="205">
        <v>25000</v>
      </c>
      <c r="M32" s="205"/>
      <c r="N32" s="205">
        <f>SUM(B32:M32)</f>
        <v>1703296</v>
      </c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>
        <f t="shared" si="4"/>
        <v>1703296</v>
      </c>
      <c r="AC32" s="205"/>
      <c r="AD32" s="229">
        <v>611</v>
      </c>
      <c r="AE32" s="220"/>
      <c r="AF32" s="221">
        <f t="shared" si="2"/>
        <v>2787.7184942716858</v>
      </c>
    </row>
    <row r="33" spans="1:32">
      <c r="A33" s="169" t="s">
        <v>147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20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205"/>
      <c r="AA33" s="175"/>
      <c r="AB33" s="207">
        <f t="shared" si="4"/>
        <v>0</v>
      </c>
      <c r="AC33" s="175"/>
      <c r="AD33" s="216">
        <v>0</v>
      </c>
      <c r="AF33" s="203" t="s">
        <v>45</v>
      </c>
    </row>
    <row r="34" spans="1:32">
      <c r="A34" s="219" t="s">
        <v>103</v>
      </c>
      <c r="B34" s="205">
        <v>686972</v>
      </c>
      <c r="C34" s="205">
        <v>218658</v>
      </c>
      <c r="D34" s="205">
        <v>595933</v>
      </c>
      <c r="E34" s="205">
        <v>0</v>
      </c>
      <c r="F34" s="205">
        <v>0</v>
      </c>
      <c r="G34" s="205">
        <v>47926</v>
      </c>
      <c r="H34" s="205">
        <v>1601722</v>
      </c>
      <c r="I34" s="205">
        <v>1480319</v>
      </c>
      <c r="J34" s="205">
        <v>1647765</v>
      </c>
      <c r="K34" s="205">
        <v>93375</v>
      </c>
      <c r="L34" s="205">
        <v>529205</v>
      </c>
      <c r="M34" s="205">
        <v>0</v>
      </c>
      <c r="N34" s="205">
        <f>SUM(B34:M34)</f>
        <v>6901875</v>
      </c>
      <c r="O34" s="205"/>
      <c r="P34" s="205">
        <v>248575</v>
      </c>
      <c r="Q34" s="205">
        <v>104011</v>
      </c>
      <c r="R34" s="205">
        <v>15000</v>
      </c>
      <c r="S34" s="205">
        <v>17074</v>
      </c>
      <c r="T34" s="205">
        <v>836289</v>
      </c>
      <c r="U34" s="205">
        <v>1245263</v>
      </c>
      <c r="V34" s="205">
        <v>4561903</v>
      </c>
      <c r="W34" s="205">
        <v>254036</v>
      </c>
      <c r="X34" s="205">
        <v>150000</v>
      </c>
      <c r="Y34" s="205">
        <v>0</v>
      </c>
      <c r="Z34" s="205">
        <f>SUM(P34:Y34)</f>
        <v>7432151</v>
      </c>
      <c r="AA34" s="205"/>
      <c r="AB34" s="205">
        <f t="shared" si="4"/>
        <v>14334026</v>
      </c>
      <c r="AC34" s="205"/>
      <c r="AD34" s="229">
        <v>3042</v>
      </c>
      <c r="AE34" s="220"/>
      <c r="AF34" s="221">
        <f t="shared" si="2"/>
        <v>4712.0401051939516</v>
      </c>
    </row>
    <row r="35" spans="1:32">
      <c r="A35" s="169" t="s">
        <v>148</v>
      </c>
      <c r="B35" s="175">
        <v>0</v>
      </c>
      <c r="C35" s="175">
        <v>0</v>
      </c>
      <c r="D35" s="175">
        <v>155800</v>
      </c>
      <c r="E35" s="175">
        <v>0</v>
      </c>
      <c r="F35" s="175">
        <v>0</v>
      </c>
      <c r="G35" s="175"/>
      <c r="H35" s="175">
        <v>0</v>
      </c>
      <c r="I35" s="175">
        <v>0</v>
      </c>
      <c r="J35" s="175">
        <v>0</v>
      </c>
      <c r="K35" s="175">
        <v>0</v>
      </c>
      <c r="L35" s="175"/>
      <c r="M35" s="175"/>
      <c r="N35" s="205">
        <f>SUM(B35:M35)</f>
        <v>155800</v>
      </c>
      <c r="O35" s="175"/>
      <c r="P35" s="175">
        <v>63600</v>
      </c>
      <c r="Q35" s="175">
        <v>143600</v>
      </c>
      <c r="R35" s="175"/>
      <c r="S35" s="175">
        <v>14578</v>
      </c>
      <c r="T35" s="175">
        <v>240000</v>
      </c>
      <c r="U35" s="175">
        <v>429842</v>
      </c>
      <c r="V35" s="175">
        <v>1412316</v>
      </c>
      <c r="W35" s="175">
        <v>37813</v>
      </c>
      <c r="X35" s="175"/>
      <c r="Y35" s="175"/>
      <c r="Z35" s="205">
        <f>SUM(P35:Y35)</f>
        <v>2341749</v>
      </c>
      <c r="AA35" s="175"/>
      <c r="AB35" s="207">
        <f t="shared" si="4"/>
        <v>2497549</v>
      </c>
      <c r="AC35" s="175"/>
      <c r="AD35" s="216">
        <v>274</v>
      </c>
      <c r="AF35" s="203">
        <f t="shared" si="2"/>
        <v>9115.1423357664225</v>
      </c>
    </row>
    <row r="36" spans="1:32">
      <c r="A36" s="220" t="s">
        <v>149</v>
      </c>
      <c r="B36" s="205">
        <v>0</v>
      </c>
      <c r="C36" s="205">
        <v>0</v>
      </c>
      <c r="D36" s="205">
        <v>300000</v>
      </c>
      <c r="E36" s="205">
        <v>0</v>
      </c>
      <c r="F36" s="205">
        <v>0</v>
      </c>
      <c r="G36" s="205"/>
      <c r="H36" s="205">
        <v>0</v>
      </c>
      <c r="I36" s="205">
        <v>0</v>
      </c>
      <c r="J36" s="205">
        <v>0</v>
      </c>
      <c r="K36" s="205">
        <v>0</v>
      </c>
      <c r="L36" s="205"/>
      <c r="M36" s="205"/>
      <c r="N36" s="205">
        <f>SUM(B36:M36)</f>
        <v>300000</v>
      </c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>
        <v>300000</v>
      </c>
      <c r="AC36" s="205"/>
      <c r="AD36" s="229">
        <v>100</v>
      </c>
      <c r="AE36" s="220"/>
      <c r="AF36" s="221">
        <f t="shared" si="2"/>
        <v>3000</v>
      </c>
    </row>
    <row r="37" spans="1:32">
      <c r="A37" s="169" t="s">
        <v>104</v>
      </c>
      <c r="B37" s="175">
        <v>120000</v>
      </c>
      <c r="C37" s="175">
        <v>319000</v>
      </c>
      <c r="D37" s="175">
        <v>200000</v>
      </c>
      <c r="E37" s="175">
        <v>0</v>
      </c>
      <c r="F37" s="175">
        <v>0</v>
      </c>
      <c r="G37" s="175">
        <v>0</v>
      </c>
      <c r="H37" s="175">
        <v>19000</v>
      </c>
      <c r="I37" s="175"/>
      <c r="J37" s="175"/>
      <c r="K37" s="175"/>
      <c r="L37" s="175">
        <v>293000</v>
      </c>
      <c r="M37" s="175"/>
      <c r="N37" s="20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205"/>
      <c r="AA37" s="175"/>
      <c r="AB37" s="207">
        <v>951000</v>
      </c>
      <c r="AC37" s="175"/>
      <c r="AD37" s="216">
        <v>327</v>
      </c>
      <c r="AF37" s="203">
        <f t="shared" si="2"/>
        <v>2908.2568807339449</v>
      </c>
    </row>
    <row r="38" spans="1:32">
      <c r="A38" s="220" t="s">
        <v>125</v>
      </c>
      <c r="B38" s="205">
        <v>570658</v>
      </c>
      <c r="C38" s="205">
        <v>27000</v>
      </c>
      <c r="D38" s="205">
        <v>257500</v>
      </c>
      <c r="E38" s="205">
        <v>0</v>
      </c>
      <c r="F38" s="205">
        <v>0</v>
      </c>
      <c r="G38" s="205">
        <v>0</v>
      </c>
      <c r="H38" s="205">
        <v>30512</v>
      </c>
      <c r="I38" s="205"/>
      <c r="J38" s="205"/>
      <c r="K38" s="205"/>
      <c r="L38" s="205"/>
      <c r="M38" s="205"/>
      <c r="N38" s="205">
        <v>885670</v>
      </c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>
        <f>SUM(P38:Y38)</f>
        <v>0</v>
      </c>
      <c r="AA38" s="205"/>
      <c r="AB38" s="205">
        <f>Z38+N38</f>
        <v>885670</v>
      </c>
      <c r="AC38" s="205"/>
      <c r="AD38" s="229">
        <v>575</v>
      </c>
      <c r="AE38" s="220"/>
      <c r="AF38" s="221">
        <f t="shared" si="2"/>
        <v>1540.2956521739131</v>
      </c>
    </row>
    <row r="39" spans="1:32">
      <c r="A39" s="169" t="s">
        <v>150</v>
      </c>
      <c r="B39" s="175">
        <v>50000</v>
      </c>
      <c r="C39" s="175">
        <v>40000</v>
      </c>
      <c r="D39" s="175">
        <v>399300</v>
      </c>
      <c r="E39" s="175">
        <v>0</v>
      </c>
      <c r="F39" s="175">
        <v>0</v>
      </c>
      <c r="G39" s="175">
        <v>0</v>
      </c>
      <c r="H39" s="175">
        <v>102500</v>
      </c>
      <c r="I39" s="175"/>
      <c r="J39" s="175"/>
      <c r="K39" s="175"/>
      <c r="L39" s="175">
        <v>200000</v>
      </c>
      <c r="M39" s="175"/>
      <c r="N39" s="205">
        <v>791800</v>
      </c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205">
        <f>SUM(P39:Y39)</f>
        <v>0</v>
      </c>
      <c r="AA39" s="175"/>
      <c r="AB39" s="207">
        <f>Z39+N39</f>
        <v>791800</v>
      </c>
      <c r="AC39" s="175"/>
      <c r="AD39" s="216">
        <v>237</v>
      </c>
      <c r="AF39" s="203">
        <f t="shared" si="2"/>
        <v>3340.9282700421941</v>
      </c>
    </row>
    <row r="40" spans="1:32">
      <c r="A40" s="220" t="s">
        <v>105</v>
      </c>
      <c r="B40" s="205">
        <v>0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205"/>
      <c r="AB40" s="205">
        <v>0</v>
      </c>
      <c r="AC40" s="205"/>
      <c r="AD40" s="229">
        <v>0</v>
      </c>
      <c r="AE40" s="220"/>
      <c r="AF40" s="221" t="s">
        <v>45</v>
      </c>
    </row>
    <row r="41" spans="1:32">
      <c r="A41" s="169" t="s">
        <v>106</v>
      </c>
      <c r="B41" s="175">
        <v>0</v>
      </c>
      <c r="C41" s="175">
        <v>0</v>
      </c>
      <c r="D41" s="175">
        <v>822825</v>
      </c>
      <c r="E41" s="175"/>
      <c r="F41" s="175"/>
      <c r="G41" s="175"/>
      <c r="H41" s="175"/>
      <c r="I41" s="175"/>
      <c r="J41" s="175"/>
      <c r="K41" s="175"/>
      <c r="L41" s="175"/>
      <c r="M41" s="175"/>
      <c r="N41" s="205">
        <f>SUM(B41:M41)</f>
        <v>822825</v>
      </c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205">
        <f t="shared" ref="Z41:Z46" si="5">SUM(P41:Y41)</f>
        <v>0</v>
      </c>
      <c r="AA41" s="175"/>
      <c r="AB41" s="207">
        <f t="shared" ref="AB41:AB51" si="6">Z41+N41</f>
        <v>822825</v>
      </c>
      <c r="AC41" s="175"/>
      <c r="AD41" s="216">
        <v>314</v>
      </c>
      <c r="AF41" s="203">
        <f t="shared" si="2"/>
        <v>2620.4617834394903</v>
      </c>
    </row>
    <row r="42" spans="1:32">
      <c r="A42" s="220" t="s">
        <v>107</v>
      </c>
      <c r="B42" s="205">
        <v>0</v>
      </c>
      <c r="C42" s="205">
        <v>2062</v>
      </c>
      <c r="D42" s="205">
        <v>23629</v>
      </c>
      <c r="E42" s="205"/>
      <c r="F42" s="205"/>
      <c r="G42" s="205">
        <v>705</v>
      </c>
      <c r="H42" s="205">
        <v>1789</v>
      </c>
      <c r="I42" s="205"/>
      <c r="J42" s="205"/>
      <c r="K42" s="205"/>
      <c r="L42" s="205"/>
      <c r="M42" s="205"/>
      <c r="N42" s="205">
        <v>28185</v>
      </c>
      <c r="O42" s="205"/>
      <c r="P42" s="205">
        <v>98340</v>
      </c>
      <c r="Q42" s="205">
        <v>80877</v>
      </c>
      <c r="R42" s="205">
        <v>0</v>
      </c>
      <c r="S42" s="205">
        <v>23331</v>
      </c>
      <c r="T42" s="205">
        <v>82732</v>
      </c>
      <c r="U42" s="205">
        <v>379660</v>
      </c>
      <c r="V42" s="205">
        <v>287050</v>
      </c>
      <c r="W42" s="205">
        <v>0</v>
      </c>
      <c r="X42" s="205">
        <v>7717</v>
      </c>
      <c r="Y42" s="205">
        <v>312235</v>
      </c>
      <c r="Z42" s="205">
        <f t="shared" si="5"/>
        <v>1271942</v>
      </c>
      <c r="AA42" s="205"/>
      <c r="AB42" s="205">
        <f t="shared" si="6"/>
        <v>1300127</v>
      </c>
      <c r="AC42" s="205"/>
      <c r="AD42" s="229">
        <v>250</v>
      </c>
      <c r="AE42" s="220"/>
      <c r="AF42" s="221">
        <f t="shared" si="2"/>
        <v>5200.5079999999998</v>
      </c>
    </row>
    <row r="43" spans="1:32">
      <c r="A43" s="169" t="s">
        <v>108</v>
      </c>
      <c r="B43" s="175">
        <v>0</v>
      </c>
      <c r="C43" s="175">
        <v>0</v>
      </c>
      <c r="D43" s="175">
        <v>192000</v>
      </c>
      <c r="E43" s="175"/>
      <c r="F43" s="175"/>
      <c r="G43" s="175"/>
      <c r="H43" s="175">
        <v>18506</v>
      </c>
      <c r="I43" s="175"/>
      <c r="J43" s="175"/>
      <c r="K43" s="175"/>
      <c r="L43" s="175"/>
      <c r="M43" s="175"/>
      <c r="N43" s="205">
        <f>SUM(B43:M43)</f>
        <v>210506</v>
      </c>
      <c r="O43" s="175"/>
      <c r="P43" s="175">
        <v>148500</v>
      </c>
      <c r="Q43" s="175">
        <v>87000</v>
      </c>
      <c r="R43" s="175">
        <v>0</v>
      </c>
      <c r="S43" s="175">
        <v>80000</v>
      </c>
      <c r="T43" s="175">
        <v>421104</v>
      </c>
      <c r="U43" s="175">
        <v>384761</v>
      </c>
      <c r="V43" s="175">
        <v>256712</v>
      </c>
      <c r="W43" s="175">
        <v>0</v>
      </c>
      <c r="X43" s="175">
        <v>500000</v>
      </c>
      <c r="Y43" s="175"/>
      <c r="Z43" s="205">
        <f t="shared" si="5"/>
        <v>1878077</v>
      </c>
      <c r="AA43" s="175"/>
      <c r="AB43" s="207">
        <f t="shared" si="6"/>
        <v>2088583</v>
      </c>
      <c r="AC43" s="175"/>
      <c r="AD43" s="216">
        <v>420</v>
      </c>
      <c r="AF43" s="203">
        <f t="shared" si="2"/>
        <v>4972.8166666666666</v>
      </c>
    </row>
    <row r="44" spans="1:32" ht="12" customHeight="1">
      <c r="A44" s="219" t="s">
        <v>109</v>
      </c>
      <c r="B44" s="205">
        <v>230000</v>
      </c>
      <c r="C44" s="205">
        <v>428000</v>
      </c>
      <c r="D44" s="205">
        <v>503070</v>
      </c>
      <c r="E44" s="205"/>
      <c r="F44" s="205"/>
      <c r="G44" s="205"/>
      <c r="H44" s="205"/>
      <c r="I44" s="205"/>
      <c r="J44" s="205"/>
      <c r="K44" s="205"/>
      <c r="L44" s="205">
        <v>357530</v>
      </c>
      <c r="M44" s="205" t="s">
        <v>35</v>
      </c>
      <c r="N44" s="205">
        <v>1518600</v>
      </c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>
        <f t="shared" si="5"/>
        <v>0</v>
      </c>
      <c r="AA44" s="205"/>
      <c r="AB44" s="205">
        <f t="shared" si="6"/>
        <v>1518600</v>
      </c>
      <c r="AC44" s="205"/>
      <c r="AD44" s="229">
        <v>556</v>
      </c>
      <c r="AE44" s="220"/>
      <c r="AF44" s="221">
        <f t="shared" si="2"/>
        <v>2731.294964028777</v>
      </c>
    </row>
    <row r="45" spans="1:32" ht="22.5" customHeight="1">
      <c r="A45" s="169" t="s">
        <v>140</v>
      </c>
      <c r="B45" s="175">
        <v>520000</v>
      </c>
      <c r="C45" s="175">
        <v>397386</v>
      </c>
      <c r="D45" s="175">
        <v>0</v>
      </c>
      <c r="E45" s="175">
        <v>473123</v>
      </c>
      <c r="F45" s="175">
        <v>7210</v>
      </c>
      <c r="G45" s="175">
        <v>127965</v>
      </c>
      <c r="H45" s="175">
        <v>721147</v>
      </c>
      <c r="I45" s="175">
        <v>353011</v>
      </c>
      <c r="J45" s="175">
        <v>127965</v>
      </c>
      <c r="K45" s="175">
        <v>0</v>
      </c>
      <c r="L45" s="175">
        <v>0</v>
      </c>
      <c r="M45" s="175">
        <v>810160</v>
      </c>
      <c r="N45" s="205">
        <f>SUM(B45:M45)</f>
        <v>3537967</v>
      </c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205">
        <f t="shared" si="5"/>
        <v>0</v>
      </c>
      <c r="AA45" s="175"/>
      <c r="AB45" s="207">
        <f t="shared" si="6"/>
        <v>3537967</v>
      </c>
      <c r="AC45" s="175"/>
      <c r="AD45" s="216">
        <v>953</v>
      </c>
      <c r="AF45" s="203">
        <f t="shared" si="2"/>
        <v>3712.4522560335781</v>
      </c>
    </row>
    <row r="46" spans="1:32">
      <c r="A46" s="220" t="s">
        <v>110</v>
      </c>
      <c r="B46" s="205">
        <v>17000</v>
      </c>
      <c r="C46" s="205">
        <v>146383</v>
      </c>
      <c r="D46" s="205">
        <v>936342</v>
      </c>
      <c r="E46" s="205">
        <v>174000</v>
      </c>
      <c r="F46" s="205">
        <v>0</v>
      </c>
      <c r="G46" s="205">
        <v>10000</v>
      </c>
      <c r="H46" s="205"/>
      <c r="I46" s="205"/>
      <c r="J46" s="205">
        <v>104578</v>
      </c>
      <c r="K46" s="205"/>
      <c r="L46" s="205">
        <v>25000</v>
      </c>
      <c r="M46" s="205">
        <v>0</v>
      </c>
      <c r="N46" s="205">
        <f>SUM(B46:M46)</f>
        <v>1413303</v>
      </c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>
        <f t="shared" si="5"/>
        <v>0</v>
      </c>
      <c r="AA46" s="205"/>
      <c r="AB46" s="205">
        <f t="shared" si="6"/>
        <v>1413303</v>
      </c>
      <c r="AC46" s="205"/>
      <c r="AD46" s="229">
        <v>398</v>
      </c>
      <c r="AE46" s="220"/>
      <c r="AF46" s="221">
        <f t="shared" si="2"/>
        <v>3551.0125628140704</v>
      </c>
    </row>
    <row r="47" spans="1:32">
      <c r="A47" s="169" t="s">
        <v>151</v>
      </c>
      <c r="B47" s="175">
        <v>0</v>
      </c>
      <c r="C47" s="175">
        <v>122847</v>
      </c>
      <c r="D47" s="175">
        <v>641167</v>
      </c>
      <c r="E47" s="175">
        <v>0</v>
      </c>
      <c r="F47" s="175">
        <v>0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172456</v>
      </c>
      <c r="M47" s="175">
        <v>0</v>
      </c>
      <c r="N47" s="205">
        <v>993955</v>
      </c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205"/>
      <c r="AA47" s="175"/>
      <c r="AB47" s="207">
        <f t="shared" si="6"/>
        <v>993955</v>
      </c>
      <c r="AC47" s="175"/>
      <c r="AD47" s="216">
        <v>125</v>
      </c>
      <c r="AF47" s="203">
        <f t="shared" si="2"/>
        <v>7951.64</v>
      </c>
    </row>
    <row r="48" spans="1:32">
      <c r="A48" s="220" t="s">
        <v>111</v>
      </c>
      <c r="B48" s="205">
        <v>21000</v>
      </c>
      <c r="C48" s="205">
        <v>42581</v>
      </c>
      <c r="D48" s="205">
        <v>288000</v>
      </c>
      <c r="E48" s="205">
        <v>0</v>
      </c>
      <c r="F48" s="205">
        <v>0</v>
      </c>
      <c r="G48" s="205">
        <v>3500</v>
      </c>
      <c r="H48" s="205">
        <v>23000</v>
      </c>
      <c r="I48" s="205">
        <v>0</v>
      </c>
      <c r="J48" s="205">
        <v>0</v>
      </c>
      <c r="K48" s="205">
        <v>0</v>
      </c>
      <c r="L48" s="205">
        <v>0</v>
      </c>
      <c r="M48" s="205">
        <v>0</v>
      </c>
      <c r="N48" s="205">
        <v>378081</v>
      </c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>
        <f t="shared" si="6"/>
        <v>378081</v>
      </c>
      <c r="AC48" s="205"/>
      <c r="AD48" s="229">
        <v>120</v>
      </c>
      <c r="AE48" s="220"/>
      <c r="AF48" s="221">
        <f t="shared" si="2"/>
        <v>3150.6750000000002</v>
      </c>
    </row>
    <row r="49" spans="1:32">
      <c r="A49" s="169" t="s">
        <v>112</v>
      </c>
      <c r="B49" s="175">
        <v>0</v>
      </c>
      <c r="C49" s="175">
        <v>0</v>
      </c>
      <c r="D49" s="175">
        <v>0</v>
      </c>
      <c r="E49" s="175">
        <v>0</v>
      </c>
      <c r="F49" s="175"/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205">
        <f>SUM(B49:M49)</f>
        <v>0</v>
      </c>
      <c r="O49" s="175"/>
      <c r="P49" s="175">
        <v>300000</v>
      </c>
      <c r="Q49" s="175">
        <v>239293</v>
      </c>
      <c r="R49" s="175">
        <v>12000</v>
      </c>
      <c r="S49" s="175">
        <v>59479</v>
      </c>
      <c r="T49" s="175">
        <v>887247</v>
      </c>
      <c r="U49" s="175">
        <v>180000</v>
      </c>
      <c r="V49" s="175">
        <v>750000</v>
      </c>
      <c r="W49" s="175">
        <v>51868</v>
      </c>
      <c r="X49" s="175">
        <v>379750</v>
      </c>
      <c r="Y49" s="175">
        <v>200000</v>
      </c>
      <c r="Z49" s="205">
        <f>SUM(P49:Y49)</f>
        <v>3059637</v>
      </c>
      <c r="AA49" s="175"/>
      <c r="AB49" s="207">
        <f t="shared" si="6"/>
        <v>3059637</v>
      </c>
      <c r="AC49" s="175"/>
      <c r="AD49" s="216">
        <v>341</v>
      </c>
      <c r="AF49" s="203">
        <f t="shared" si="2"/>
        <v>8972.5425219941353</v>
      </c>
    </row>
    <row r="50" spans="1:32">
      <c r="A50" s="220" t="s">
        <v>113</v>
      </c>
      <c r="B50" s="205">
        <v>0</v>
      </c>
      <c r="C50" s="205">
        <v>66066</v>
      </c>
      <c r="D50" s="205">
        <v>594594</v>
      </c>
      <c r="E50" s="205"/>
      <c r="F50" s="205"/>
      <c r="G50" s="205">
        <v>0</v>
      </c>
      <c r="H50" s="205">
        <v>0</v>
      </c>
      <c r="I50" s="205"/>
      <c r="J50" s="205"/>
      <c r="K50" s="205"/>
      <c r="L50" s="205"/>
      <c r="M50" s="205"/>
      <c r="N50" s="205">
        <f>SUM(B50:M50)</f>
        <v>660660</v>
      </c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>
        <f>SUM(P50:Y50)</f>
        <v>0</v>
      </c>
      <c r="AA50" s="205"/>
      <c r="AB50" s="205">
        <f t="shared" si="6"/>
        <v>660660</v>
      </c>
      <c r="AC50" s="205"/>
      <c r="AD50" s="229">
        <v>231</v>
      </c>
      <c r="AE50" s="220"/>
      <c r="AF50" s="221">
        <f t="shared" si="2"/>
        <v>2860</v>
      </c>
    </row>
    <row r="51" spans="1:32">
      <c r="A51" s="169" t="s">
        <v>114</v>
      </c>
      <c r="B51" s="175">
        <v>0</v>
      </c>
      <c r="C51" s="175">
        <v>0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205">
        <f>SUM(B51:M51)</f>
        <v>0</v>
      </c>
      <c r="O51" s="175"/>
      <c r="P51" s="175">
        <v>285000</v>
      </c>
      <c r="Q51" s="175">
        <v>550000</v>
      </c>
      <c r="R51" s="175">
        <v>0</v>
      </c>
      <c r="S51" s="175">
        <v>65000</v>
      </c>
      <c r="T51" s="175">
        <v>1198500</v>
      </c>
      <c r="U51" s="175">
        <v>575000</v>
      </c>
      <c r="V51" s="175">
        <v>353344</v>
      </c>
      <c r="W51" s="175">
        <v>856400</v>
      </c>
      <c r="X51" s="175">
        <v>78548</v>
      </c>
      <c r="Y51" s="175">
        <v>0</v>
      </c>
      <c r="Z51" s="205">
        <f>SUM(P51:Y51)</f>
        <v>3961792</v>
      </c>
      <c r="AA51" s="175"/>
      <c r="AB51" s="207">
        <f t="shared" si="6"/>
        <v>3961792</v>
      </c>
      <c r="AC51" s="175"/>
      <c r="AD51" s="216">
        <v>250</v>
      </c>
      <c r="AF51" s="203">
        <f t="shared" si="2"/>
        <v>15847.168</v>
      </c>
    </row>
    <row r="52" spans="1:32">
      <c r="A52" s="220" t="s">
        <v>115</v>
      </c>
      <c r="B52" s="205">
        <v>0</v>
      </c>
      <c r="C52" s="205">
        <v>4200</v>
      </c>
      <c r="D52" s="205">
        <v>10000</v>
      </c>
      <c r="E52" s="205"/>
      <c r="F52" s="205"/>
      <c r="G52" s="205"/>
      <c r="H52" s="205"/>
      <c r="I52" s="205"/>
      <c r="J52" s="205"/>
      <c r="K52" s="205"/>
      <c r="L52" s="205"/>
      <c r="M52" s="205"/>
      <c r="N52" s="205">
        <f>SUM(B52:M52)</f>
        <v>14200</v>
      </c>
      <c r="O52" s="205"/>
      <c r="P52" s="205">
        <v>153499</v>
      </c>
      <c r="Q52" s="205">
        <v>515531</v>
      </c>
      <c r="R52" s="205">
        <v>0</v>
      </c>
      <c r="S52" s="205">
        <v>40480</v>
      </c>
      <c r="T52" s="205">
        <v>593393</v>
      </c>
      <c r="U52" s="205">
        <v>1186593</v>
      </c>
      <c r="V52" s="205">
        <v>0</v>
      </c>
      <c r="W52" s="205">
        <v>45183</v>
      </c>
      <c r="X52" s="205">
        <v>187700</v>
      </c>
      <c r="Y52" s="205">
        <v>3584579</v>
      </c>
      <c r="Z52" s="205">
        <f>SUM(P52:Y52)</f>
        <v>6306958</v>
      </c>
      <c r="AA52" s="205"/>
      <c r="AB52" s="205">
        <v>6306958</v>
      </c>
      <c r="AC52" s="205"/>
      <c r="AD52" s="229">
        <v>397</v>
      </c>
      <c r="AE52" s="220"/>
      <c r="AF52" s="221">
        <f t="shared" si="2"/>
        <v>15886.544080604534</v>
      </c>
    </row>
    <row r="53" spans="1:32">
      <c r="A53" s="169" t="s">
        <v>116</v>
      </c>
      <c r="B53" s="175">
        <v>0</v>
      </c>
      <c r="C53" s="175">
        <v>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205">
        <f>SUM(B53:M53)</f>
        <v>0</v>
      </c>
      <c r="O53" s="175"/>
      <c r="P53" s="175">
        <v>120000</v>
      </c>
      <c r="Q53" s="175">
        <v>196940</v>
      </c>
      <c r="R53" s="175">
        <v>0</v>
      </c>
      <c r="S53" s="175">
        <v>18398</v>
      </c>
      <c r="T53" s="175">
        <v>238432</v>
      </c>
      <c r="U53" s="175">
        <v>257845</v>
      </c>
      <c r="V53" s="175">
        <v>129163</v>
      </c>
      <c r="W53" s="175">
        <v>0</v>
      </c>
      <c r="X53" s="175">
        <v>0</v>
      </c>
      <c r="Y53" s="175">
        <v>0</v>
      </c>
      <c r="Z53" s="205">
        <v>960779</v>
      </c>
      <c r="AA53" s="175"/>
      <c r="AB53" s="207">
        <f>Z53+N53</f>
        <v>960779</v>
      </c>
      <c r="AC53" s="175"/>
      <c r="AD53" s="216">
        <v>314</v>
      </c>
      <c r="AF53" s="203">
        <f t="shared" si="2"/>
        <v>3059.8057324840765</v>
      </c>
    </row>
    <row r="54" spans="1:32">
      <c r="A54" s="220" t="s">
        <v>117</v>
      </c>
      <c r="B54" s="205">
        <v>0</v>
      </c>
      <c r="C54" s="205">
        <v>0</v>
      </c>
      <c r="D54" s="205">
        <v>0</v>
      </c>
      <c r="E54" s="205">
        <v>0</v>
      </c>
      <c r="F54" s="205">
        <v>0</v>
      </c>
      <c r="G54" s="205">
        <v>0</v>
      </c>
      <c r="H54" s="205">
        <v>0</v>
      </c>
      <c r="I54" s="205">
        <v>0</v>
      </c>
      <c r="J54" s="205">
        <v>0</v>
      </c>
      <c r="K54" s="205">
        <v>0</v>
      </c>
      <c r="L54" s="205">
        <v>0</v>
      </c>
      <c r="M54" s="205">
        <v>0</v>
      </c>
      <c r="N54" s="205">
        <v>0</v>
      </c>
      <c r="O54" s="205"/>
      <c r="P54" s="205">
        <v>180000</v>
      </c>
      <c r="Q54" s="205">
        <v>308000</v>
      </c>
      <c r="R54" s="205">
        <v>4800</v>
      </c>
      <c r="S54" s="205">
        <v>15837</v>
      </c>
      <c r="T54" s="205">
        <v>577491</v>
      </c>
      <c r="U54" s="205">
        <v>839520</v>
      </c>
      <c r="V54" s="205">
        <v>113352</v>
      </c>
      <c r="W54" s="205">
        <v>0</v>
      </c>
      <c r="X54" s="205">
        <v>98000</v>
      </c>
      <c r="Y54" s="205">
        <v>190574</v>
      </c>
      <c r="Z54" s="205">
        <v>0</v>
      </c>
      <c r="AA54" s="205"/>
      <c r="AB54" s="205">
        <f>SUM(P54:Z54)</f>
        <v>2327574</v>
      </c>
      <c r="AC54" s="205"/>
      <c r="AD54" s="229">
        <v>496</v>
      </c>
      <c r="AE54" s="220"/>
      <c r="AF54" s="221">
        <f t="shared" si="2"/>
        <v>4692.6895161290322</v>
      </c>
    </row>
    <row r="55" spans="1:32">
      <c r="A55" s="169" t="s">
        <v>118</v>
      </c>
      <c r="B55" s="175">
        <v>112000</v>
      </c>
      <c r="C55" s="175">
        <v>38000</v>
      </c>
      <c r="D55" s="175">
        <v>1026604</v>
      </c>
      <c r="E55" s="175">
        <v>0</v>
      </c>
      <c r="F55" s="175">
        <v>0</v>
      </c>
      <c r="G55" s="175">
        <v>0</v>
      </c>
      <c r="H55" s="175">
        <v>185688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205">
        <f>SUM(B55:M55)</f>
        <v>1362292</v>
      </c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205"/>
      <c r="AA55" s="175"/>
      <c r="AB55" s="207">
        <f>N55</f>
        <v>1362292</v>
      </c>
      <c r="AC55" s="175"/>
      <c r="AD55" s="216">
        <v>598</v>
      </c>
      <c r="AF55" s="203">
        <f t="shared" si="2"/>
        <v>2278.0802675585282</v>
      </c>
    </row>
    <row r="56" spans="1:32">
      <c r="A56" s="220" t="s">
        <v>119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>
        <f>SUM(B56:M56)</f>
        <v>0</v>
      </c>
      <c r="O56" s="205"/>
      <c r="P56" s="205">
        <v>120000</v>
      </c>
      <c r="Q56" s="205">
        <v>116500</v>
      </c>
      <c r="R56" s="205">
        <v>0</v>
      </c>
      <c r="S56" s="205">
        <v>0</v>
      </c>
      <c r="T56" s="205">
        <v>367122</v>
      </c>
      <c r="U56" s="205">
        <v>394812</v>
      </c>
      <c r="V56" s="205">
        <v>181949</v>
      </c>
      <c r="W56" s="205">
        <v>64515</v>
      </c>
      <c r="X56" s="205">
        <v>45000</v>
      </c>
      <c r="Y56" s="205">
        <v>576760</v>
      </c>
      <c r="Z56" s="205">
        <v>1866658</v>
      </c>
      <c r="AA56" s="205"/>
      <c r="AB56" s="205">
        <v>1866658</v>
      </c>
      <c r="AC56" s="205"/>
      <c r="AD56" s="229">
        <v>355</v>
      </c>
      <c r="AE56" s="220"/>
      <c r="AF56" s="221">
        <f t="shared" si="2"/>
        <v>5258.1915492957751</v>
      </c>
    </row>
    <row r="57" spans="1:32">
      <c r="A57" s="169" t="s">
        <v>120</v>
      </c>
      <c r="B57" s="175">
        <v>0</v>
      </c>
      <c r="C57" s="175">
        <v>0</v>
      </c>
      <c r="D57" s="175">
        <v>0</v>
      </c>
      <c r="E57" s="175"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205">
        <v>0</v>
      </c>
      <c r="O57" s="175"/>
      <c r="P57" s="175">
        <v>100507</v>
      </c>
      <c r="Q57" s="175">
        <v>266231</v>
      </c>
      <c r="R57" s="175">
        <v>0</v>
      </c>
      <c r="S57" s="175">
        <v>7415</v>
      </c>
      <c r="T57" s="175">
        <v>362768</v>
      </c>
      <c r="U57" s="175">
        <v>523452</v>
      </c>
      <c r="V57" s="175">
        <v>433396</v>
      </c>
      <c r="W57" s="175">
        <v>18213</v>
      </c>
      <c r="X57" s="175">
        <v>0</v>
      </c>
      <c r="Y57" s="175">
        <v>0</v>
      </c>
      <c r="Z57" s="205">
        <f>SUM(P57:Y57)</f>
        <v>1711982</v>
      </c>
      <c r="AA57" s="175"/>
      <c r="AB57" s="207">
        <f>Z57+N57</f>
        <v>1711982</v>
      </c>
      <c r="AC57" s="175"/>
      <c r="AD57" s="216">
        <v>430</v>
      </c>
      <c r="AF57" s="203">
        <f t="shared" si="2"/>
        <v>3981.3534883720931</v>
      </c>
    </row>
    <row r="58" spans="1:32">
      <c r="A58" s="220" t="s">
        <v>121</v>
      </c>
      <c r="B58" s="205">
        <v>174713</v>
      </c>
      <c r="C58" s="205">
        <v>112500</v>
      </c>
      <c r="D58" s="205">
        <v>976706</v>
      </c>
      <c r="E58" s="205">
        <v>0</v>
      </c>
      <c r="F58" s="205">
        <v>-85000</v>
      </c>
      <c r="G58" s="205">
        <v>0</v>
      </c>
      <c r="H58" s="205">
        <v>164351</v>
      </c>
      <c r="I58" s="205">
        <v>78754</v>
      </c>
      <c r="J58" s="205">
        <v>125413</v>
      </c>
      <c r="K58" s="205">
        <v>0</v>
      </c>
      <c r="L58" s="205">
        <v>20000</v>
      </c>
      <c r="M58" s="205"/>
      <c r="N58" s="205">
        <v>1567437</v>
      </c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>
        <v>1567437</v>
      </c>
      <c r="AC58" s="205"/>
      <c r="AD58" s="229">
        <v>426</v>
      </c>
      <c r="AE58" s="220"/>
      <c r="AF58" s="221">
        <f t="shared" si="2"/>
        <v>3679.4295774647885</v>
      </c>
    </row>
    <row r="59" spans="1:32">
      <c r="A59" s="188" t="s">
        <v>122</v>
      </c>
      <c r="B59" s="189">
        <v>0</v>
      </c>
      <c r="C59" s="189">
        <v>0</v>
      </c>
      <c r="D59" s="189">
        <v>0</v>
      </c>
      <c r="E59" s="189">
        <v>0</v>
      </c>
      <c r="F59" s="189"/>
      <c r="G59" s="189"/>
      <c r="H59" s="189"/>
      <c r="I59" s="189"/>
      <c r="J59" s="189"/>
      <c r="K59" s="189"/>
      <c r="L59" s="189"/>
      <c r="M59" s="189"/>
      <c r="N59" s="206">
        <f>SUM(B59:M59)</f>
        <v>0</v>
      </c>
      <c r="O59" s="189">
        <v>0</v>
      </c>
      <c r="P59" s="189">
        <v>0</v>
      </c>
      <c r="Q59" s="189">
        <v>0</v>
      </c>
      <c r="R59" s="189">
        <v>0</v>
      </c>
      <c r="S59" s="189"/>
      <c r="T59" s="189"/>
      <c r="U59" s="189"/>
      <c r="V59" s="189"/>
      <c r="W59" s="189"/>
      <c r="X59" s="189"/>
      <c r="Y59" s="189"/>
      <c r="Z59" s="206">
        <f>SUM(P59:Y59)</f>
        <v>0</v>
      </c>
      <c r="AA59" s="189"/>
      <c r="AB59" s="208">
        <f>Z59+N59</f>
        <v>0</v>
      </c>
      <c r="AC59" s="175"/>
      <c r="AD59" s="217">
        <v>0</v>
      </c>
      <c r="AE59" s="188"/>
      <c r="AF59" s="204" t="s">
        <v>45</v>
      </c>
    </row>
    <row r="60" spans="1:32" s="160" customFormat="1">
      <c r="A60" s="160" t="s">
        <v>132</v>
      </c>
      <c r="B60" s="161">
        <f t="shared" ref="B60:AB60" si="7">SUM(B4:B59)</f>
        <v>5183582</v>
      </c>
      <c r="C60" s="161">
        <f t="shared" si="7"/>
        <v>5582127</v>
      </c>
      <c r="D60" s="161">
        <f t="shared" si="7"/>
        <v>30418717</v>
      </c>
      <c r="E60" s="161">
        <f t="shared" si="7"/>
        <v>935883</v>
      </c>
      <c r="F60" s="161">
        <f t="shared" si="7"/>
        <v>203201</v>
      </c>
      <c r="G60" s="161">
        <f t="shared" si="7"/>
        <v>490978</v>
      </c>
      <c r="H60" s="161">
        <f t="shared" si="7"/>
        <v>7766948</v>
      </c>
      <c r="I60" s="161">
        <f t="shared" si="7"/>
        <v>2777939</v>
      </c>
      <c r="J60" s="161">
        <f t="shared" si="7"/>
        <v>3981987</v>
      </c>
      <c r="K60" s="161">
        <f t="shared" si="7"/>
        <v>247277</v>
      </c>
      <c r="L60" s="161">
        <f t="shared" si="7"/>
        <v>4192598</v>
      </c>
      <c r="M60" s="161">
        <f t="shared" si="7"/>
        <v>3010160</v>
      </c>
      <c r="N60" s="165">
        <f t="shared" si="7"/>
        <v>63897882</v>
      </c>
      <c r="O60" s="161">
        <f t="shared" si="7"/>
        <v>0</v>
      </c>
      <c r="P60" s="161">
        <f t="shared" si="7"/>
        <v>3706214</v>
      </c>
      <c r="Q60" s="161">
        <f t="shared" si="7"/>
        <v>5266182</v>
      </c>
      <c r="R60" s="161">
        <f t="shared" si="7"/>
        <v>31800</v>
      </c>
      <c r="S60" s="161">
        <f t="shared" si="7"/>
        <v>514280</v>
      </c>
      <c r="T60" s="161">
        <f t="shared" si="7"/>
        <v>11330274</v>
      </c>
      <c r="U60" s="161">
        <f t="shared" si="7"/>
        <v>13263270</v>
      </c>
      <c r="V60" s="161">
        <f t="shared" si="7"/>
        <v>10175591</v>
      </c>
      <c r="W60" s="161">
        <f t="shared" si="7"/>
        <v>1897935</v>
      </c>
      <c r="X60" s="161">
        <f t="shared" si="7"/>
        <v>1782604</v>
      </c>
      <c r="Y60" s="161">
        <f t="shared" si="7"/>
        <v>6511521</v>
      </c>
      <c r="Z60" s="165">
        <f t="shared" si="7"/>
        <v>51830174</v>
      </c>
      <c r="AA60" s="161"/>
      <c r="AB60" s="209">
        <f t="shared" si="7"/>
        <v>119314354</v>
      </c>
      <c r="AC60" s="161"/>
      <c r="AD60" s="218">
        <v>34076</v>
      </c>
      <c r="AF60" s="203">
        <f>AB60/AD60</f>
        <v>3501.4190045780019</v>
      </c>
    </row>
    <row r="61" spans="1:32" ht="12.75" hidden="1" customHeight="1">
      <c r="A61" s="169" t="s">
        <v>133</v>
      </c>
      <c r="B61" s="175">
        <f t="shared" ref="B61:N61" si="8">B60</f>
        <v>5183582</v>
      </c>
      <c r="C61" s="175">
        <f t="shared" si="8"/>
        <v>5582127</v>
      </c>
      <c r="D61" s="175">
        <f t="shared" si="8"/>
        <v>30418717</v>
      </c>
      <c r="E61" s="175">
        <f t="shared" si="8"/>
        <v>935883</v>
      </c>
      <c r="F61" s="175">
        <f t="shared" si="8"/>
        <v>203201</v>
      </c>
      <c r="G61" s="175">
        <f t="shared" si="8"/>
        <v>490978</v>
      </c>
      <c r="H61" s="175">
        <f t="shared" si="8"/>
        <v>7766948</v>
      </c>
      <c r="I61" s="175">
        <f t="shared" si="8"/>
        <v>2777939</v>
      </c>
      <c r="J61" s="175">
        <f t="shared" si="8"/>
        <v>3981987</v>
      </c>
      <c r="K61" s="175">
        <f t="shared" si="8"/>
        <v>247277</v>
      </c>
      <c r="L61" s="175">
        <f t="shared" si="8"/>
        <v>4192598</v>
      </c>
      <c r="M61" s="175">
        <f t="shared" si="8"/>
        <v>3010160</v>
      </c>
      <c r="N61" s="187">
        <f t="shared" si="8"/>
        <v>63897882</v>
      </c>
      <c r="O61" s="175">
        <f>O60-O41</f>
        <v>0</v>
      </c>
      <c r="P61" s="175">
        <f t="shared" ref="P61:AB61" si="9">P60</f>
        <v>3706214</v>
      </c>
      <c r="Q61" s="175">
        <f t="shared" si="9"/>
        <v>5266182</v>
      </c>
      <c r="R61" s="175">
        <f t="shared" si="9"/>
        <v>31800</v>
      </c>
      <c r="S61" s="175">
        <f t="shared" si="9"/>
        <v>514280</v>
      </c>
      <c r="T61" s="175">
        <f t="shared" si="9"/>
        <v>11330274</v>
      </c>
      <c r="U61" s="175">
        <f t="shared" si="9"/>
        <v>13263270</v>
      </c>
      <c r="V61" s="175">
        <f t="shared" si="9"/>
        <v>10175591</v>
      </c>
      <c r="W61" s="175">
        <f t="shared" si="9"/>
        <v>1897935</v>
      </c>
      <c r="X61" s="175">
        <f t="shared" si="9"/>
        <v>1782604</v>
      </c>
      <c r="Y61" s="175">
        <f t="shared" si="9"/>
        <v>6511521</v>
      </c>
      <c r="Z61" s="175">
        <f t="shared" si="9"/>
        <v>51830174</v>
      </c>
      <c r="AA61" s="175"/>
      <c r="AB61" s="175">
        <f t="shared" si="9"/>
        <v>119314354</v>
      </c>
      <c r="AC61" s="175"/>
      <c r="AD61" s="197">
        <v>34076</v>
      </c>
      <c r="AE61" s="176">
        <f>AE60-AE41</f>
        <v>0</v>
      </c>
    </row>
    <row r="62" spans="1:32" ht="12.75" hidden="1" customHeight="1">
      <c r="B62" s="177">
        <f t="shared" ref="B62:M62" si="10">B61/$N$61</f>
        <v>8.1122907954914683E-2</v>
      </c>
      <c r="C62" s="177">
        <f t="shared" si="10"/>
        <v>8.7360125645479139E-2</v>
      </c>
      <c r="D62" s="177">
        <f t="shared" si="10"/>
        <v>0.47605203878275654</v>
      </c>
      <c r="E62" s="177">
        <f t="shared" si="10"/>
        <v>1.4646541805564071E-2</v>
      </c>
      <c r="F62" s="177">
        <f t="shared" si="10"/>
        <v>3.1800897563396546E-3</v>
      </c>
      <c r="G62" s="177">
        <f t="shared" si="10"/>
        <v>7.6837914596292875E-3</v>
      </c>
      <c r="H62" s="177">
        <f t="shared" si="10"/>
        <v>0.1215525109267315</v>
      </c>
      <c r="I62" s="177">
        <f t="shared" si="10"/>
        <v>4.3474664778403768E-2</v>
      </c>
      <c r="J62" s="177">
        <f t="shared" si="10"/>
        <v>6.2317981056085707E-2</v>
      </c>
      <c r="K62" s="177">
        <f t="shared" si="10"/>
        <v>3.869877877955329E-3</v>
      </c>
      <c r="L62" s="177">
        <f t="shared" si="10"/>
        <v>6.5614037097505046E-2</v>
      </c>
      <c r="M62" s="177">
        <f t="shared" si="10"/>
        <v>4.7108916693044692E-2</v>
      </c>
      <c r="P62" s="178">
        <f t="shared" ref="P62:Y62" si="11">P61/$Z$61</f>
        <v>7.1506879371078316E-2</v>
      </c>
      <c r="Q62" s="178">
        <f t="shared" si="11"/>
        <v>0.10160455953707584</v>
      </c>
      <c r="R62" s="178">
        <f t="shared" si="11"/>
        <v>6.1354221963445463E-4</v>
      </c>
      <c r="S62" s="178">
        <f t="shared" si="11"/>
        <v>9.9224054312455137E-3</v>
      </c>
      <c r="T62" s="178">
        <f t="shared" si="11"/>
        <v>0.21860381946624374</v>
      </c>
      <c r="U62" s="178">
        <f t="shared" si="11"/>
        <v>0.25589861998148028</v>
      </c>
      <c r="V62" s="178">
        <f t="shared" si="11"/>
        <v>0.19632561912680441</v>
      </c>
      <c r="W62" s="178">
        <f t="shared" si="11"/>
        <v>3.6618341277418823E-2</v>
      </c>
      <c r="X62" s="178">
        <f t="shared" si="11"/>
        <v>3.4393170279536395E-2</v>
      </c>
      <c r="Y62" s="178">
        <f t="shared" si="11"/>
        <v>0.12563185684076617</v>
      </c>
      <c r="AD62" s="196" t="e">
        <v>#REF!</v>
      </c>
    </row>
    <row r="63" spans="1:32" ht="12.75" hidden="1" customHeight="1" outlineLevel="1">
      <c r="AD63" s="198" t="e">
        <v>#REF!</v>
      </c>
    </row>
    <row r="64" spans="1:32" ht="12.75" hidden="1" customHeight="1" outlineLevel="1">
      <c r="AD64" s="195"/>
    </row>
    <row r="65" spans="18:22" ht="12.75" hidden="1" customHeight="1" outlineLevel="1">
      <c r="R65" s="169">
        <v>0</v>
      </c>
      <c r="S65" s="180" t="s">
        <v>134</v>
      </c>
      <c r="T65" s="180" t="s">
        <v>136</v>
      </c>
      <c r="U65" s="181" t="s">
        <v>137</v>
      </c>
    </row>
    <row r="66" spans="18:22" ht="12.75" hidden="1" customHeight="1" outlineLevel="1">
      <c r="R66" s="169">
        <v>500</v>
      </c>
      <c r="S66" s="182">
        <v>0</v>
      </c>
      <c r="T66" s="179">
        <v>0</v>
      </c>
      <c r="U66" s="178">
        <f t="shared" ref="U66:U77" si="12">T66/$T$78</f>
        <v>0</v>
      </c>
    </row>
    <row r="67" spans="18:22" ht="12.75" hidden="1" customHeight="1" outlineLevel="1">
      <c r="R67" s="169">
        <v>1000</v>
      </c>
      <c r="S67" s="182">
        <v>500</v>
      </c>
      <c r="T67" s="179">
        <v>0</v>
      </c>
      <c r="U67" s="178">
        <f t="shared" si="12"/>
        <v>0</v>
      </c>
    </row>
    <row r="68" spans="18:22" ht="12.75" hidden="1" customHeight="1" outlineLevel="1">
      <c r="R68" s="169">
        <v>1500</v>
      </c>
      <c r="S68" s="182">
        <v>1000</v>
      </c>
      <c r="T68" s="179">
        <v>2</v>
      </c>
      <c r="U68" s="178">
        <f t="shared" si="12"/>
        <v>4.878048780487805E-2</v>
      </c>
    </row>
    <row r="69" spans="18:22" ht="12.75" hidden="1" customHeight="1" outlineLevel="1">
      <c r="R69" s="169">
        <v>2000</v>
      </c>
      <c r="S69" s="182">
        <v>1500</v>
      </c>
      <c r="T69" s="179">
        <v>1</v>
      </c>
      <c r="U69" s="178">
        <f t="shared" si="12"/>
        <v>2.4390243902439025E-2</v>
      </c>
    </row>
    <row r="70" spans="18:22" ht="12.75" hidden="1" customHeight="1" outlineLevel="1">
      <c r="R70" s="169">
        <v>2500</v>
      </c>
      <c r="S70" s="182">
        <v>2000</v>
      </c>
      <c r="T70" s="179">
        <v>4</v>
      </c>
      <c r="U70" s="178">
        <f t="shared" si="12"/>
        <v>9.7560975609756101E-2</v>
      </c>
      <c r="V70" s="169">
        <f>SUM(T66:T70)/T78</f>
        <v>0.17073170731707318</v>
      </c>
    </row>
    <row r="71" spans="18:22" ht="12.75" hidden="1" customHeight="1" outlineLevel="1">
      <c r="R71" s="169">
        <v>3000</v>
      </c>
      <c r="S71" s="182">
        <v>2500</v>
      </c>
      <c r="T71" s="179">
        <v>3</v>
      </c>
      <c r="U71" s="178">
        <f t="shared" si="12"/>
        <v>7.3170731707317069E-2</v>
      </c>
      <c r="V71" s="169">
        <f>6/T78</f>
        <v>0.14634146341463414</v>
      </c>
    </row>
    <row r="72" spans="18:22" ht="12.75" hidden="1" customHeight="1" outlineLevel="1">
      <c r="R72" s="169">
        <v>3500</v>
      </c>
      <c r="S72" s="182">
        <v>3000</v>
      </c>
      <c r="T72" s="179">
        <v>3</v>
      </c>
      <c r="U72" s="178">
        <f t="shared" si="12"/>
        <v>7.3170731707317069E-2</v>
      </c>
      <c r="V72" s="169">
        <f>SUM(T73:T77)</f>
        <v>28</v>
      </c>
    </row>
    <row r="73" spans="18:22" ht="12.75" hidden="1" customHeight="1" outlineLevel="1">
      <c r="R73" s="169">
        <v>4000</v>
      </c>
      <c r="S73" s="182">
        <v>3500</v>
      </c>
      <c r="T73" s="179">
        <v>3</v>
      </c>
      <c r="U73" s="178">
        <f t="shared" si="12"/>
        <v>7.3170731707317069E-2</v>
      </c>
      <c r="V73" s="169">
        <f>V72/T78</f>
        <v>0.68292682926829273</v>
      </c>
    </row>
    <row r="74" spans="18:22" ht="12.75" hidden="1" customHeight="1" outlineLevel="1">
      <c r="R74" s="169">
        <v>4500</v>
      </c>
      <c r="S74" s="182">
        <v>4000</v>
      </c>
      <c r="T74" s="179">
        <v>6</v>
      </c>
      <c r="U74" s="178">
        <f t="shared" si="12"/>
        <v>0.14634146341463414</v>
      </c>
    </row>
    <row r="75" spans="18:22" ht="12.75" hidden="1" customHeight="1" outlineLevel="1">
      <c r="R75" s="169">
        <v>5000</v>
      </c>
      <c r="S75" s="182">
        <v>4500</v>
      </c>
      <c r="T75" s="179">
        <v>4</v>
      </c>
      <c r="U75" s="178">
        <f t="shared" si="12"/>
        <v>9.7560975609756101E-2</v>
      </c>
    </row>
    <row r="76" spans="18:22" ht="12.75" hidden="1" customHeight="1" outlineLevel="1">
      <c r="S76" s="182">
        <v>5000</v>
      </c>
      <c r="T76" s="179">
        <v>4</v>
      </c>
      <c r="U76" s="178">
        <f t="shared" si="12"/>
        <v>9.7560975609756101E-2</v>
      </c>
    </row>
    <row r="77" spans="18:22" ht="13.5" hidden="1" customHeight="1" outlineLevel="1" thickBot="1">
      <c r="S77" s="183" t="s">
        <v>135</v>
      </c>
      <c r="T77" s="183">
        <v>11</v>
      </c>
      <c r="U77" s="178">
        <f t="shared" si="12"/>
        <v>0.26829268292682928</v>
      </c>
    </row>
    <row r="78" spans="18:22" ht="12.75" hidden="1" customHeight="1" outlineLevel="1">
      <c r="T78" s="169">
        <f>SUM(T66:T77)</f>
        <v>41</v>
      </c>
    </row>
    <row r="79" spans="18:22" ht="12.75" hidden="1" customHeight="1" outlineLevel="1"/>
    <row r="80" spans="18:22" ht="12.75" hidden="1" customHeight="1" outlineLevel="1">
      <c r="T80" s="169">
        <f>T78/57</f>
        <v>0.7192982456140351</v>
      </c>
    </row>
    <row r="81" ht="12.75" hidden="1" customHeight="1" outlineLevel="1"/>
    <row r="82" ht="12.75" hidden="1" customHeight="1" outlineLevel="1"/>
    <row r="83" ht="12.75" hidden="1" customHeight="1" outlineLevel="1"/>
    <row r="84" ht="12.75" hidden="1" customHeight="1" outlineLevel="1"/>
    <row r="85" ht="12.75" hidden="1" customHeight="1" outlineLevel="1"/>
    <row r="86" ht="12.75" hidden="1" customHeight="1" outlineLevel="1"/>
    <row r="87" ht="12.75" hidden="1" customHeight="1" outlineLevel="1"/>
    <row r="88" ht="12.75" hidden="1" customHeight="1" outlineLevel="1"/>
    <row r="89" ht="12.75" hidden="1" customHeight="1" outlineLevel="1"/>
    <row r="90" ht="12.75" hidden="1" customHeight="1" outlineLevel="1"/>
    <row r="91" ht="12.75" hidden="1" customHeight="1" outlineLevel="1"/>
    <row r="92" ht="12.75" hidden="1" customHeight="1" collapsed="1"/>
    <row r="93" ht="12.75" hidden="1" customHeight="1"/>
    <row r="94" ht="12.75" hidden="1" customHeight="1"/>
    <row r="95" ht="12.75" hidden="1" customHeight="1"/>
    <row r="96" ht="12.75" hidden="1" customHeight="1"/>
    <row r="97" spans="2:6" ht="12.75" hidden="1" customHeight="1"/>
    <row r="98" spans="2:6" ht="12.75" hidden="1" customHeight="1"/>
    <row r="99" spans="2:6" ht="12.75" hidden="1" customHeight="1"/>
    <row r="100" spans="2:6" ht="12.75" hidden="1" customHeight="1" outlineLevel="1">
      <c r="B100" s="179" t="str">
        <f>B2</f>
        <v>Utilities</v>
      </c>
      <c r="C100" s="184">
        <f>B62</f>
        <v>8.1122907954914683E-2</v>
      </c>
      <c r="E100" s="169" t="str">
        <f>P2</f>
        <v>Utilities</v>
      </c>
      <c r="F100" s="185">
        <f>P62</f>
        <v>7.1506879371078316E-2</v>
      </c>
    </row>
    <row r="101" spans="2:6" ht="12.75" hidden="1" customHeight="1" outlineLevel="1">
      <c r="B101" s="179" t="str">
        <f>C2</f>
        <v>Maintenance</v>
      </c>
      <c r="C101" s="184">
        <f>C62</f>
        <v>8.7360125645479139E-2</v>
      </c>
      <c r="E101" s="169" t="str">
        <f>Q2</f>
        <v>Maintenance</v>
      </c>
      <c r="F101" s="185">
        <f>Q62</f>
        <v>0.10160455953707584</v>
      </c>
    </row>
    <row r="102" spans="2:6" ht="12.75" hidden="1" customHeight="1" outlineLevel="1">
      <c r="B102" s="179" t="str">
        <f>D2</f>
        <v>Direct lease payments</v>
      </c>
      <c r="C102" s="184">
        <f>D62</f>
        <v>0.47605203878275654</v>
      </c>
      <c r="E102" s="169" t="str">
        <f>R2</f>
        <v>Real estate taxes (if applicable)</v>
      </c>
      <c r="F102" s="185">
        <f>R62</f>
        <v>6.1354221963445463E-4</v>
      </c>
    </row>
    <row r="103" spans="2:6" ht="12.75" hidden="1" customHeight="1" outlineLevel="1">
      <c r="B103" s="179" t="str">
        <f>E2</f>
        <v>Additional lease payments (CAM charges, etc.)</v>
      </c>
      <c r="C103" s="184">
        <f>E62</f>
        <v>1.4646541805564071E-2</v>
      </c>
      <c r="E103" s="169" t="str">
        <f>S2</f>
        <v>Property Insurance</v>
      </c>
      <c r="F103" s="185">
        <f>S62</f>
        <v>9.9224054312455137E-3</v>
      </c>
    </row>
    <row r="104" spans="2:6" ht="12.75" hidden="1" customHeight="1" outlineLevel="1">
      <c r="B104" s="179" t="str">
        <f>F2</f>
        <v>Real estate taxes (if applicable)</v>
      </c>
      <c r="C104" s="184">
        <f>F62</f>
        <v>3.1800897563396546E-3</v>
      </c>
      <c r="E104" s="169" t="str">
        <f>T2</f>
        <v>Depreciation of building/improvements/FFE</v>
      </c>
      <c r="F104" s="185">
        <f>T62</f>
        <v>0.21860381946624374</v>
      </c>
    </row>
    <row r="105" spans="2:6" ht="12.75" hidden="1" customHeight="1" outlineLevel="1">
      <c r="B105" s="179" t="str">
        <f>G2</f>
        <v>Property Insurance</v>
      </c>
      <c r="C105" s="184">
        <f>G62</f>
        <v>7.6837914596292875E-3</v>
      </c>
      <c r="E105" s="169" t="str">
        <f>U2</f>
        <v>Debt service for mortgage financing:</v>
      </c>
      <c r="F105" s="185">
        <f>U62+V62+W62</f>
        <v>0.4888425803857035</v>
      </c>
    </row>
    <row r="106" spans="2:6" ht="12.75" hidden="1" customHeight="1" outlineLevel="1">
      <c r="B106" s="179" t="str">
        <f>H2</f>
        <v>Amortization of leasehold improvements &amp; FFE</v>
      </c>
      <c r="C106" s="184">
        <f>H62</f>
        <v>0.1215525109267315</v>
      </c>
      <c r="E106" s="169" t="str">
        <f>X2</f>
        <v>Capital Expenses (major repairs), not financed</v>
      </c>
      <c r="F106" s="185">
        <f>X62</f>
        <v>3.4393170279536395E-2</v>
      </c>
    </row>
    <row r="107" spans="2:6" ht="12.75" hidden="1" customHeight="1" outlineLevel="1">
      <c r="B107" s="170" t="str">
        <f>I2</f>
        <v>Debt service for LHI &amp; FFE:</v>
      </c>
      <c r="C107" s="184">
        <f>I62+J62+K62</f>
        <v>0.1096625237124448</v>
      </c>
      <c r="E107" s="169" t="str">
        <f>Y2</f>
        <v>Lender Required Reserves</v>
      </c>
      <c r="F107" s="185">
        <f>Y62</f>
        <v>0.12563185684076617</v>
      </c>
    </row>
    <row r="108" spans="2:6" ht="12.75" hidden="1" customHeight="1" outlineLevel="1">
      <c r="B108" s="179" t="str">
        <f>L2</f>
        <v>Capital expenses (major repairs), not financed</v>
      </c>
      <c r="C108" s="184">
        <f>L62</f>
        <v>6.5614037097505046E-2</v>
      </c>
      <c r="F108" s="186">
        <f>SUM(F100:F107)</f>
        <v>1.0511188135312839</v>
      </c>
    </row>
    <row r="109" spans="2:6" ht="12.75" hidden="1" customHeight="1" outlineLevel="1">
      <c r="B109" s="179" t="str">
        <f>M2</f>
        <v>Lender Required Reserves</v>
      </c>
      <c r="C109" s="184">
        <f>M62</f>
        <v>4.7108916693044692E-2</v>
      </c>
    </row>
    <row r="110" spans="2:6" ht="12.75" hidden="1" customHeight="1" collapsed="1">
      <c r="C110" s="185">
        <f>SUM(C100:C109)</f>
        <v>1.0139834838344093</v>
      </c>
    </row>
    <row r="111" spans="2:6" hidden="1"/>
    <row r="112" spans="2:6" hidden="1"/>
    <row r="113" spans="28:32" hidden="1"/>
    <row r="114" spans="28:32" hidden="1"/>
    <row r="115" spans="28:32" hidden="1"/>
    <row r="116" spans="28:32" hidden="1"/>
    <row r="117" spans="28:32" hidden="1"/>
    <row r="118" spans="28:32" hidden="1"/>
    <row r="119" spans="28:32" hidden="1"/>
    <row r="120" spans="28:32" hidden="1"/>
    <row r="121" spans="28:32" hidden="1"/>
    <row r="122" spans="28:32" hidden="1"/>
    <row r="123" spans="28:32" hidden="1"/>
    <row r="124" spans="28:32" hidden="1"/>
    <row r="125" spans="28:32" hidden="1"/>
    <row r="126" spans="28:32" hidden="1"/>
    <row r="127" spans="28:32" hidden="1">
      <c r="AB127" s="233">
        <f>AB53-P53-Q53-B53-C53</f>
        <v>643839</v>
      </c>
      <c r="AF127" s="169">
        <f>AB127/AD53</f>
        <v>2050.4426751592355</v>
      </c>
    </row>
    <row r="128" spans="28:32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1:28" hidden="1"/>
    <row r="210" spans="1:28">
      <c r="AB210" s="233"/>
    </row>
    <row r="212" spans="1:28">
      <c r="A212" s="230" t="s">
        <v>182</v>
      </c>
      <c r="B212" s="231"/>
      <c r="C212" s="231"/>
      <c r="D212" s="231"/>
      <c r="E212" s="231"/>
      <c r="F212" s="231"/>
      <c r="G212" s="231"/>
      <c r="H212" s="231"/>
      <c r="I212" s="231"/>
      <c r="J212" s="231"/>
      <c r="K212" s="231"/>
    </row>
    <row r="213" spans="1:28">
      <c r="A213" s="230" t="s">
        <v>186</v>
      </c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194"/>
    </row>
  </sheetData>
  <mergeCells count="25">
    <mergeCell ref="AD2:AD3"/>
    <mergeCell ref="AF2:AF3"/>
    <mergeCell ref="T2:T3"/>
    <mergeCell ref="L2:L3"/>
    <mergeCell ref="Z2:Z3"/>
    <mergeCell ref="I2:K2"/>
    <mergeCell ref="AB2:AB3"/>
    <mergeCell ref="Y2:Y3"/>
    <mergeCell ref="N2:N3"/>
    <mergeCell ref="B1:N1"/>
    <mergeCell ref="P1:Z1"/>
    <mergeCell ref="R2:R3"/>
    <mergeCell ref="B2:B3"/>
    <mergeCell ref="X2:X3"/>
    <mergeCell ref="M2:M3"/>
    <mergeCell ref="P2:P3"/>
    <mergeCell ref="Q2:Q3"/>
    <mergeCell ref="S2:S3"/>
    <mergeCell ref="A2:A3"/>
    <mergeCell ref="F2:F3"/>
    <mergeCell ref="G2:G3"/>
    <mergeCell ref="H2:H3"/>
    <mergeCell ref="C2:C3"/>
    <mergeCell ref="D2:D3"/>
    <mergeCell ref="E2:E3"/>
  </mergeCells>
  <phoneticPr fontId="4" type="noConversion"/>
  <conditionalFormatting sqref="A43 A53 A59">
    <cfRule type="cellIs" dxfId="4" priority="1" stopIfTrue="1" operator="lessThan">
      <formula>0</formula>
    </cfRule>
  </conditionalFormatting>
  <pageMargins left="0.75" right="0.25" top="0.75" bottom="1" header="0.25" footer="0.5"/>
  <pageSetup paperSize="3" scale="53" orientation="landscape"/>
  <headerFooter alignWithMargins="0">
    <oddHeader>&amp;CBUDGETED PCS Facilities Expenditures - FY2013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E45" sqref="E45"/>
    </sheetView>
  </sheetViews>
  <sheetFormatPr baseColWidth="10" defaultColWidth="8.83203125" defaultRowHeight="12" x14ac:dyDescent="0"/>
  <cols>
    <col min="1" max="1" width="28.33203125" customWidth="1"/>
    <col min="2" max="2" width="18.83203125" customWidth="1"/>
  </cols>
  <sheetData>
    <row r="1" spans="1:3">
      <c r="A1" t="s">
        <v>77</v>
      </c>
      <c r="B1" s="174" t="s">
        <v>77</v>
      </c>
      <c r="C1">
        <v>138</v>
      </c>
    </row>
    <row r="2" spans="1:3">
      <c r="A2" t="s">
        <v>78</v>
      </c>
      <c r="B2" s="169" t="s">
        <v>78</v>
      </c>
      <c r="C2">
        <v>317</v>
      </c>
    </row>
    <row r="3" spans="1:3">
      <c r="A3" t="s">
        <v>155</v>
      </c>
      <c r="B3" s="169" t="s">
        <v>79</v>
      </c>
      <c r="C3">
        <v>561</v>
      </c>
    </row>
    <row r="4" spans="1:3">
      <c r="A4" t="s">
        <v>156</v>
      </c>
      <c r="B4" s="169" t="s">
        <v>80</v>
      </c>
      <c r="C4">
        <v>353</v>
      </c>
    </row>
    <row r="5" spans="1:3">
      <c r="A5" t="s">
        <v>81</v>
      </c>
      <c r="B5" s="169" t="s">
        <v>81</v>
      </c>
      <c r="C5">
        <v>86</v>
      </c>
    </row>
    <row r="6" spans="1:3">
      <c r="A6" t="s">
        <v>82</v>
      </c>
      <c r="B6" s="169" t="s">
        <v>82</v>
      </c>
      <c r="C6">
        <v>538</v>
      </c>
    </row>
    <row r="7" spans="1:3">
      <c r="A7" t="s">
        <v>83</v>
      </c>
      <c r="B7" s="169" t="s">
        <v>83</v>
      </c>
      <c r="C7">
        <v>1751</v>
      </c>
    </row>
    <row r="8" spans="1:3">
      <c r="A8" t="s">
        <v>84</v>
      </c>
      <c r="B8" s="169" t="s">
        <v>84</v>
      </c>
      <c r="C8">
        <v>1300</v>
      </c>
    </row>
    <row r="9" spans="1:3">
      <c r="A9" t="s">
        <v>85</v>
      </c>
      <c r="B9" s="169" t="s">
        <v>85</v>
      </c>
      <c r="C9">
        <v>1426</v>
      </c>
    </row>
    <row r="10" spans="1:3">
      <c r="A10" t="s">
        <v>86</v>
      </c>
      <c r="B10" s="169" t="s">
        <v>86</v>
      </c>
      <c r="C10">
        <v>1794</v>
      </c>
    </row>
    <row r="11" spans="1:3">
      <c r="A11" t="s">
        <v>157</v>
      </c>
      <c r="B11" s="169" t="s">
        <v>87</v>
      </c>
      <c r="C11">
        <v>366</v>
      </c>
    </row>
    <row r="12" spans="1:3">
      <c r="A12" t="s">
        <v>158</v>
      </c>
      <c r="B12" s="169" t="s">
        <v>88</v>
      </c>
      <c r="C12">
        <v>909</v>
      </c>
    </row>
    <row r="13" spans="1:3">
      <c r="A13" t="s">
        <v>91</v>
      </c>
      <c r="B13" s="169" t="s">
        <v>89</v>
      </c>
      <c r="C13">
        <v>606</v>
      </c>
    </row>
    <row r="14" spans="1:3">
      <c r="A14" t="s">
        <v>92</v>
      </c>
      <c r="B14" s="169" t="s">
        <v>90</v>
      </c>
      <c r="C14">
        <v>350</v>
      </c>
    </row>
    <row r="15" spans="1:3">
      <c r="A15" t="s">
        <v>159</v>
      </c>
      <c r="B15" s="169" t="s">
        <v>91</v>
      </c>
      <c r="C15">
        <v>522</v>
      </c>
    </row>
    <row r="16" spans="1:3">
      <c r="A16" t="s">
        <v>160</v>
      </c>
      <c r="B16" s="169" t="s">
        <v>92</v>
      </c>
      <c r="C16">
        <v>227</v>
      </c>
    </row>
    <row r="17" spans="1:3">
      <c r="A17" t="s">
        <v>161</v>
      </c>
      <c r="B17" s="169" t="s">
        <v>93</v>
      </c>
      <c r="C17">
        <v>239</v>
      </c>
    </row>
    <row r="18" spans="1:3">
      <c r="A18" t="s">
        <v>162</v>
      </c>
      <c r="B18" s="169" t="s">
        <v>94</v>
      </c>
      <c r="C18">
        <v>328</v>
      </c>
    </row>
    <row r="19" spans="1:3">
      <c r="A19" t="s">
        <v>163</v>
      </c>
      <c r="B19" s="169" t="s">
        <v>95</v>
      </c>
      <c r="C19">
        <v>3979</v>
      </c>
    </row>
    <row r="20" spans="1:3">
      <c r="A20" t="s">
        <v>96</v>
      </c>
      <c r="B20" s="169" t="s">
        <v>96</v>
      </c>
      <c r="C20">
        <v>778</v>
      </c>
    </row>
    <row r="21" spans="1:3">
      <c r="A21" t="s">
        <v>164</v>
      </c>
      <c r="B21" s="169" t="s">
        <v>97</v>
      </c>
      <c r="C21">
        <v>154</v>
      </c>
    </row>
    <row r="22" spans="1:3">
      <c r="A22" t="s">
        <v>165</v>
      </c>
      <c r="B22" s="169" t="s">
        <v>98</v>
      </c>
      <c r="C22">
        <v>798</v>
      </c>
    </row>
    <row r="23" spans="1:3">
      <c r="A23" t="s">
        <v>166</v>
      </c>
      <c r="B23" s="169" t="s">
        <v>99</v>
      </c>
      <c r="C23">
        <v>296</v>
      </c>
    </row>
    <row r="24" spans="1:3">
      <c r="A24" t="s">
        <v>100</v>
      </c>
      <c r="B24" s="169" t="s">
        <v>100</v>
      </c>
      <c r="C24">
        <v>389</v>
      </c>
    </row>
    <row r="25" spans="1:3">
      <c r="A25" t="s">
        <v>167</v>
      </c>
      <c r="B25" s="169" t="s">
        <v>101</v>
      </c>
      <c r="C25">
        <v>406</v>
      </c>
    </row>
    <row r="26" spans="1:3">
      <c r="A26" t="s">
        <v>102</v>
      </c>
      <c r="B26" s="169" t="s">
        <v>102</v>
      </c>
      <c r="C26">
        <v>489</v>
      </c>
    </row>
    <row r="27" spans="1:3">
      <c r="A27" t="s">
        <v>168</v>
      </c>
      <c r="B27" s="169" t="s">
        <v>103</v>
      </c>
      <c r="C27">
        <v>2069</v>
      </c>
    </row>
    <row r="28" spans="1:3">
      <c r="A28" t="s">
        <v>148</v>
      </c>
      <c r="B28" s="169" t="s">
        <v>154</v>
      </c>
      <c r="C28">
        <v>199</v>
      </c>
    </row>
    <row r="29" spans="1:3">
      <c r="A29" t="s">
        <v>169</v>
      </c>
      <c r="B29" s="169" t="s">
        <v>104</v>
      </c>
      <c r="C29">
        <v>283</v>
      </c>
    </row>
    <row r="30" spans="1:3">
      <c r="A30" t="s">
        <v>170</v>
      </c>
      <c r="B30" s="169" t="s">
        <v>125</v>
      </c>
      <c r="C30">
        <v>624</v>
      </c>
    </row>
    <row r="31" spans="1:3">
      <c r="A31" t="s">
        <v>105</v>
      </c>
      <c r="B31" s="169" t="s">
        <v>105</v>
      </c>
      <c r="C31">
        <v>522</v>
      </c>
    </row>
    <row r="32" spans="1:3">
      <c r="A32" t="s">
        <v>106</v>
      </c>
      <c r="B32" s="169" t="s">
        <v>106</v>
      </c>
      <c r="C32">
        <v>167</v>
      </c>
    </row>
    <row r="33" spans="1:3">
      <c r="A33" t="s">
        <v>107</v>
      </c>
      <c r="B33" s="169" t="s">
        <v>107</v>
      </c>
      <c r="C33">
        <v>138</v>
      </c>
    </row>
    <row r="34" spans="1:3">
      <c r="A34" t="s">
        <v>108</v>
      </c>
      <c r="B34" s="169" t="s">
        <v>108</v>
      </c>
      <c r="C34">
        <v>373</v>
      </c>
    </row>
    <row r="35" spans="1:3">
      <c r="A35" t="s">
        <v>109</v>
      </c>
      <c r="B35" s="169" t="s">
        <v>109</v>
      </c>
      <c r="C35">
        <v>559</v>
      </c>
    </row>
    <row r="36" spans="1:3">
      <c r="A36" t="s">
        <v>171</v>
      </c>
      <c r="B36" s="169" t="s">
        <v>140</v>
      </c>
      <c r="C36">
        <v>749</v>
      </c>
    </row>
    <row r="37" spans="1:3">
      <c r="A37" t="s">
        <v>172</v>
      </c>
      <c r="B37" s="169" t="s">
        <v>110</v>
      </c>
      <c r="C37">
        <v>235</v>
      </c>
    </row>
    <row r="38" spans="1:3">
      <c r="A38" t="s">
        <v>111</v>
      </c>
      <c r="B38" s="169" t="s">
        <v>111</v>
      </c>
      <c r="C38">
        <v>102</v>
      </c>
    </row>
    <row r="39" spans="1:3">
      <c r="A39" t="s">
        <v>112</v>
      </c>
      <c r="B39" s="169" t="s">
        <v>112</v>
      </c>
      <c r="C39">
        <v>341</v>
      </c>
    </row>
    <row r="40" spans="1:3">
      <c r="A40" t="s">
        <v>173</v>
      </c>
      <c r="B40" s="169" t="s">
        <v>113</v>
      </c>
      <c r="C40">
        <v>225</v>
      </c>
    </row>
    <row r="41" spans="1:3">
      <c r="A41" t="s">
        <v>174</v>
      </c>
      <c r="B41" s="169" t="s">
        <v>114</v>
      </c>
      <c r="C41">
        <v>225</v>
      </c>
    </row>
    <row r="42" spans="1:3">
      <c r="A42" t="s">
        <v>115</v>
      </c>
      <c r="B42" s="169" t="s">
        <v>115</v>
      </c>
      <c r="C42">
        <v>388</v>
      </c>
    </row>
    <row r="43" spans="1:3">
      <c r="A43" t="s">
        <v>116</v>
      </c>
      <c r="B43" s="169" t="s">
        <v>116</v>
      </c>
      <c r="C43">
        <v>307</v>
      </c>
    </row>
    <row r="44" spans="1:3">
      <c r="A44" t="s">
        <v>175</v>
      </c>
      <c r="B44" s="169" t="s">
        <v>117</v>
      </c>
      <c r="C44">
        <v>434</v>
      </c>
    </row>
    <row r="45" spans="1:3">
      <c r="A45" t="s">
        <v>118</v>
      </c>
      <c r="B45" s="169" t="s">
        <v>118</v>
      </c>
      <c r="C45">
        <v>516</v>
      </c>
    </row>
    <row r="46" spans="1:3">
      <c r="A46" t="s">
        <v>176</v>
      </c>
      <c r="B46" s="169" t="s">
        <v>119</v>
      </c>
      <c r="C46">
        <v>351</v>
      </c>
    </row>
    <row r="47" spans="1:3">
      <c r="A47" t="s">
        <v>120</v>
      </c>
      <c r="B47" s="169" t="s">
        <v>120</v>
      </c>
      <c r="C47">
        <v>241</v>
      </c>
    </row>
    <row r="48" spans="1:3">
      <c r="A48" t="s">
        <v>177</v>
      </c>
      <c r="B48" s="169" t="s">
        <v>121</v>
      </c>
      <c r="C48">
        <v>668</v>
      </c>
    </row>
    <row r="49" spans="1:3">
      <c r="A49" t="s">
        <v>122</v>
      </c>
      <c r="B49" s="188" t="s">
        <v>122</v>
      </c>
      <c r="C49">
        <v>116</v>
      </c>
    </row>
  </sheetData>
  <conditionalFormatting sqref="B34:B35 B37:B49">
    <cfRule type="cellIs" dxfId="3" priority="1" stopIfTrue="1" operator="less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2:D56"/>
  <sheetViews>
    <sheetView workbookViewId="0">
      <selection activeCell="H30" sqref="H30"/>
    </sheetView>
  </sheetViews>
  <sheetFormatPr baseColWidth="10" defaultColWidth="8.83203125" defaultRowHeight="12" x14ac:dyDescent="0"/>
  <cols>
    <col min="1" max="1" width="39.1640625" style="269" customWidth="1"/>
    <col min="2" max="2" width="19" style="195" customWidth="1"/>
    <col min="3" max="3" width="1.1640625" style="195" customWidth="1"/>
    <col min="4" max="4" width="12.33203125" style="195" customWidth="1"/>
    <col min="5" max="16384" width="8.83203125" style="195"/>
  </cols>
  <sheetData>
    <row r="2" spans="1:4" ht="48">
      <c r="A2" s="270" t="s">
        <v>0</v>
      </c>
      <c r="B2" s="4" t="s">
        <v>616</v>
      </c>
      <c r="D2" s="4" t="s">
        <v>612</v>
      </c>
    </row>
    <row r="3" spans="1:4">
      <c r="A3" s="271" t="s">
        <v>19</v>
      </c>
      <c r="B3" s="62">
        <f>'PCS Facilities Exp - Act FY12 '!B57</f>
        <v>4156624</v>
      </c>
      <c r="D3" s="139">
        <f>B3/$B$16</f>
        <v>6.2196908730960718E-2</v>
      </c>
    </row>
    <row r="4" spans="1:4">
      <c r="A4" s="271" t="s">
        <v>20</v>
      </c>
      <c r="B4" s="62">
        <f>'PCS Facilities Exp - Act FY12 '!C57</f>
        <v>6098293</v>
      </c>
      <c r="D4" s="139">
        <f t="shared" ref="D4:D15" si="0">B4/$B$16</f>
        <v>9.1250729711337047E-2</v>
      </c>
    </row>
    <row r="5" spans="1:4">
      <c r="A5" s="271" t="s">
        <v>1</v>
      </c>
      <c r="B5" s="62">
        <f>'PCS Facilities Exp - Act FY12 '!D57</f>
        <v>28526130</v>
      </c>
      <c r="D5" s="139">
        <f t="shared" si="0"/>
        <v>0.4268457055671912</v>
      </c>
    </row>
    <row r="6" spans="1:4">
      <c r="A6" s="272" t="s">
        <v>11</v>
      </c>
      <c r="B6" s="62">
        <f>'PCS Facilities Exp - Act FY12 '!E57</f>
        <v>1412804.79</v>
      </c>
      <c r="D6" s="139">
        <f t="shared" si="0"/>
        <v>2.1140254826583816E-2</v>
      </c>
    </row>
    <row r="7" spans="1:4">
      <c r="A7" s="272" t="s">
        <v>2</v>
      </c>
      <c r="B7" s="62">
        <f>'PCS Facilities Exp - Act FY12 '!F57</f>
        <v>390396</v>
      </c>
      <c r="D7" s="139">
        <f t="shared" si="0"/>
        <v>5.8416215613758043E-3</v>
      </c>
    </row>
    <row r="8" spans="1:4">
      <c r="A8" s="272" t="s">
        <v>3</v>
      </c>
      <c r="B8" s="62">
        <f>'PCS Facilities Exp - Act FY12 '!G57</f>
        <v>443326</v>
      </c>
      <c r="D8" s="139">
        <f t="shared" si="0"/>
        <v>6.6336302634209619E-3</v>
      </c>
    </row>
    <row r="9" spans="1:4">
      <c r="A9" s="272" t="s">
        <v>22</v>
      </c>
      <c r="B9" s="62">
        <f>'PCS Facilities Exp - Act FY12 '!H57</f>
        <v>7654078</v>
      </c>
      <c r="D9" s="139">
        <f t="shared" si="0"/>
        <v>0.11453044364504808</v>
      </c>
    </row>
    <row r="10" spans="1:4">
      <c r="A10" s="272" t="s">
        <v>23</v>
      </c>
      <c r="B10" s="99"/>
      <c r="D10" s="139"/>
    </row>
    <row r="11" spans="1:4">
      <c r="A11" s="272" t="s">
        <v>4</v>
      </c>
      <c r="B11" s="62">
        <f>'PCS Facilities Exp - Act FY12 '!I57</f>
        <v>3118211</v>
      </c>
      <c r="D11" s="139">
        <f t="shared" si="0"/>
        <v>4.6658799297429297E-2</v>
      </c>
    </row>
    <row r="12" spans="1:4">
      <c r="A12" s="272" t="s">
        <v>5</v>
      </c>
      <c r="B12" s="62">
        <f>'PCS Facilities Exp - Act FY12 '!J57</f>
        <v>976178</v>
      </c>
      <c r="D12" s="139">
        <f t="shared" si="0"/>
        <v>1.4606867008219115E-2</v>
      </c>
    </row>
    <row r="13" spans="1:4">
      <c r="A13" s="272" t="s">
        <v>21</v>
      </c>
      <c r="B13" s="62">
        <f>'PCS Facilities Exp - Act FY12 '!K57</f>
        <v>256788</v>
      </c>
      <c r="D13" s="139">
        <f t="shared" si="0"/>
        <v>3.8424018624744361E-3</v>
      </c>
    </row>
    <row r="14" spans="1:4">
      <c r="A14" s="272" t="s">
        <v>24</v>
      </c>
      <c r="B14" s="62">
        <f>'PCS Facilities Exp - Act FY12 '!L57</f>
        <v>10774585</v>
      </c>
      <c r="D14" s="139">
        <f t="shared" si="0"/>
        <v>0.16122359873276448</v>
      </c>
    </row>
    <row r="15" spans="1:4">
      <c r="A15" s="272" t="s">
        <v>31</v>
      </c>
      <c r="B15" s="62">
        <f>'PCS Facilities Exp - Act FY12 '!M57</f>
        <v>3022660</v>
      </c>
      <c r="D15" s="139">
        <f t="shared" si="0"/>
        <v>4.5229038793195085E-2</v>
      </c>
    </row>
    <row r="16" spans="1:4">
      <c r="A16" s="270" t="s">
        <v>6</v>
      </c>
      <c r="B16" s="78">
        <f>SUM(B3:B15)</f>
        <v>66830073.789999999</v>
      </c>
      <c r="D16" s="140"/>
    </row>
    <row r="17" spans="1:4">
      <c r="A17" s="272"/>
      <c r="B17" s="11"/>
      <c r="D17" s="11"/>
    </row>
    <row r="18" spans="1:4">
      <c r="A18" s="272"/>
      <c r="B18" s="11"/>
      <c r="D18" s="11"/>
    </row>
    <row r="19" spans="1:4" ht="48">
      <c r="A19" s="270" t="s">
        <v>7</v>
      </c>
      <c r="B19" s="11"/>
      <c r="D19" s="4" t="s">
        <v>613</v>
      </c>
    </row>
    <row r="20" spans="1:4">
      <c r="A20" s="271" t="s">
        <v>19</v>
      </c>
      <c r="B20" s="62">
        <f>'PCS Facilities Exp - Act FY12 '!P57</f>
        <v>3886017</v>
      </c>
      <c r="D20" s="139">
        <f>B20/$B$31</f>
        <v>6.5641738855230988E-2</v>
      </c>
    </row>
    <row r="21" spans="1:4">
      <c r="A21" s="271" t="s">
        <v>20</v>
      </c>
      <c r="B21" s="62">
        <f>'PCS Facilities Exp - Act FY12 '!Q57</f>
        <v>7414419</v>
      </c>
      <c r="D21" s="139">
        <f t="shared" ref="D21:D30" si="1">B21/$B$31</f>
        <v>0.12524272430132521</v>
      </c>
    </row>
    <row r="22" spans="1:4">
      <c r="A22" s="272" t="s">
        <v>2</v>
      </c>
      <c r="B22" s="62">
        <f>'PCS Facilities Exp - Act FY12 '!R57</f>
        <v>28504</v>
      </c>
      <c r="D22" s="139">
        <f t="shared" si="1"/>
        <v>4.8148325762072168E-4</v>
      </c>
    </row>
    <row r="23" spans="1:4">
      <c r="A23" s="272" t="s">
        <v>3</v>
      </c>
      <c r="B23" s="62">
        <f>'PCS Facilities Exp - Act FY12 '!S57</f>
        <v>476959</v>
      </c>
      <c r="D23" s="139">
        <f t="shared" si="1"/>
        <v>8.0566858360764035E-3</v>
      </c>
    </row>
    <row r="24" spans="1:4">
      <c r="A24" s="272" t="s">
        <v>25</v>
      </c>
      <c r="B24" s="62">
        <f>'PCS Facilities Exp - Act FY12 '!T57</f>
        <v>11872533</v>
      </c>
      <c r="D24" s="139">
        <f t="shared" si="1"/>
        <v>0.20054819902643559</v>
      </c>
    </row>
    <row r="25" spans="1:4">
      <c r="A25" s="272" t="s">
        <v>8</v>
      </c>
      <c r="B25" s="11"/>
      <c r="D25" s="139"/>
    </row>
    <row r="26" spans="1:4">
      <c r="A26" s="272" t="s">
        <v>4</v>
      </c>
      <c r="B26" s="62">
        <f>'PCS Facilities Exp - Act FY12 '!U57</f>
        <v>14987239</v>
      </c>
      <c r="D26" s="139">
        <f t="shared" si="1"/>
        <v>0.25316112322692702</v>
      </c>
    </row>
    <row r="27" spans="1:4">
      <c r="A27" s="272" t="s">
        <v>9</v>
      </c>
      <c r="B27" s="62">
        <f>'PCS Facilities Exp - Act FY12 '!V57</f>
        <v>8868885</v>
      </c>
      <c r="D27" s="139">
        <f t="shared" si="1"/>
        <v>0.14981124197528609</v>
      </c>
    </row>
    <row r="28" spans="1:4">
      <c r="A28" s="272" t="s">
        <v>10</v>
      </c>
      <c r="B28" s="62">
        <f>'PCS Facilities Exp - Act FY12 '!W57</f>
        <v>2177950</v>
      </c>
      <c r="D28" s="139">
        <f t="shared" si="1"/>
        <v>3.6789449232916459E-2</v>
      </c>
    </row>
    <row r="29" spans="1:4">
      <c r="A29" s="272" t="s">
        <v>26</v>
      </c>
      <c r="B29" s="62">
        <f>'PCS Facilities Exp - Act FY12 '!X57</f>
        <v>2996871</v>
      </c>
      <c r="D29" s="139">
        <f t="shared" si="1"/>
        <v>5.0622481467480697E-2</v>
      </c>
    </row>
    <row r="30" spans="1:4">
      <c r="A30" s="272" t="s">
        <v>31</v>
      </c>
      <c r="B30" s="62">
        <f>'PCS Facilities Exp - Act FY12 '!Y57</f>
        <v>6491020</v>
      </c>
      <c r="D30" s="139">
        <f t="shared" si="1"/>
        <v>0.10964487282070084</v>
      </c>
    </row>
    <row r="31" spans="1:4">
      <c r="A31" s="270" t="s">
        <v>12</v>
      </c>
      <c r="B31" s="78">
        <f>SUM(B20:B30)</f>
        <v>59200397</v>
      </c>
      <c r="D31" s="78"/>
    </row>
    <row r="32" spans="1:4">
      <c r="A32" s="272"/>
      <c r="B32" s="11"/>
      <c r="D32" s="11"/>
    </row>
    <row r="33" spans="1:4">
      <c r="A33" s="272"/>
      <c r="B33" s="11"/>
      <c r="D33" s="11"/>
    </row>
    <row r="34" spans="1:4">
      <c r="A34" s="270" t="s">
        <v>13</v>
      </c>
      <c r="B34" s="78">
        <f>B31+B16</f>
        <v>126030470.78999999</v>
      </c>
      <c r="D34" s="78"/>
    </row>
    <row r="36" spans="1:4" ht="26" customHeight="1">
      <c r="A36" s="141" t="s">
        <v>139</v>
      </c>
      <c r="B36" s="137">
        <f>'PCS Facilities Exp - Act FY12 '!AD57</f>
        <v>30314</v>
      </c>
    </row>
    <row r="37" spans="1:4" s="151" customFormat="1">
      <c r="A37" s="273"/>
    </row>
    <row r="38" spans="1:4" ht="24">
      <c r="A38" s="274" t="s">
        <v>138</v>
      </c>
      <c r="B38" s="39">
        <f>+B34/B36</f>
        <v>4157.5005208814409</v>
      </c>
    </row>
    <row r="39" spans="1:4">
      <c r="A39" s="274"/>
    </row>
    <row r="40" spans="1:4" hidden="1">
      <c r="A40" s="275" t="s">
        <v>15</v>
      </c>
    </row>
    <row r="41" spans="1:4" hidden="1">
      <c r="A41" s="276"/>
    </row>
    <row r="42" spans="1:4" ht="24" hidden="1">
      <c r="A42" s="275" t="s">
        <v>27</v>
      </c>
      <c r="B42" s="195" t="s">
        <v>35</v>
      </c>
    </row>
    <row r="43" spans="1:4" hidden="1">
      <c r="A43" s="276" t="s">
        <v>16</v>
      </c>
    </row>
    <row r="44" spans="1:4" hidden="1"/>
    <row r="45" spans="1:4" ht="24" hidden="1">
      <c r="A45" s="269" t="s">
        <v>17</v>
      </c>
      <c r="B45" s="7">
        <v>140</v>
      </c>
    </row>
    <row r="46" spans="1:4" hidden="1"/>
    <row r="47" spans="1:4" ht="24" hidden="1">
      <c r="A47" s="269" t="s">
        <v>18</v>
      </c>
      <c r="B47" s="93">
        <v>0</v>
      </c>
    </row>
    <row r="48" spans="1:4" hidden="1"/>
    <row r="49" spans="1:2" ht="24" hidden="1">
      <c r="A49" s="274" t="s">
        <v>29</v>
      </c>
      <c r="B49" s="27" t="e">
        <f>+B38*B45/B47</f>
        <v>#DIV/0!</v>
      </c>
    </row>
    <row r="50" spans="1:2" hidden="1"/>
    <row r="51" spans="1:2" ht="24" hidden="1">
      <c r="A51" s="274" t="s">
        <v>30</v>
      </c>
      <c r="B51" s="138" t="e">
        <f>+B34*B45/B47</f>
        <v>#DIV/0!</v>
      </c>
    </row>
    <row r="52" spans="1:2" hidden="1"/>
    <row r="53" spans="1:2" hidden="1">
      <c r="A53" s="277"/>
    </row>
    <row r="54" spans="1:2" hidden="1">
      <c r="A54" s="141" t="s">
        <v>142</v>
      </c>
      <c r="B54" s="9" t="e">
        <f>#REF!+#REF!</f>
        <v>#REF!</v>
      </c>
    </row>
    <row r="55" spans="1:2" hidden="1">
      <c r="A55" s="141" t="s">
        <v>141</v>
      </c>
      <c r="B55" s="9" t="e">
        <f>B54/B36</f>
        <v>#REF!</v>
      </c>
    </row>
    <row r="56" spans="1:2" hidden="1"/>
  </sheetData>
  <phoneticPr fontId="4" type="noConversion"/>
  <printOptions gridLines="1"/>
  <pageMargins left="0.25" right="0.25" top="1.22" bottom="0.5" header="0.59" footer="0.5"/>
  <pageSetup orientation="portrait" blackAndWhite="1"/>
  <headerFooter alignWithMargins="0">
    <oddHeader>&amp;C&amp;"Arial,Bold"&amp;K000000Exhibit A1&amp;"Arial,Regular": DC PUBLIC CHARTER SCHOOL_x000D_FACILITY COST TEMPLATE - FY12 FACILITIES EXPENDITURE ACTUALS (inclusive of utilities, maintenance and reserve requirements) as of December 31, 2013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2:D56"/>
  <sheetViews>
    <sheetView workbookViewId="0">
      <selection activeCell="H30" sqref="H30"/>
    </sheetView>
  </sheetViews>
  <sheetFormatPr baseColWidth="10" defaultColWidth="8.83203125" defaultRowHeight="12" x14ac:dyDescent="0"/>
  <cols>
    <col min="1" max="1" width="39.1640625" style="269" customWidth="1"/>
    <col min="2" max="2" width="19" style="195" customWidth="1"/>
    <col min="3" max="3" width="1.1640625" style="195" customWidth="1"/>
    <col min="4" max="4" width="12.33203125" style="195" customWidth="1"/>
    <col min="5" max="16384" width="8.83203125" style="195"/>
  </cols>
  <sheetData>
    <row r="2" spans="1:4" ht="48">
      <c r="A2" s="270" t="s">
        <v>0</v>
      </c>
      <c r="B2" s="4" t="s">
        <v>616</v>
      </c>
      <c r="D2" s="4" t="s">
        <v>612</v>
      </c>
    </row>
    <row r="3" spans="1:4">
      <c r="A3" s="271" t="s">
        <v>19</v>
      </c>
      <c r="B3" s="62">
        <v>0</v>
      </c>
      <c r="D3" s="139">
        <f>B3/$B$16</f>
        <v>0</v>
      </c>
    </row>
    <row r="4" spans="1:4">
      <c r="A4" s="271" t="s">
        <v>20</v>
      </c>
      <c r="B4" s="62">
        <v>0</v>
      </c>
      <c r="D4" s="139">
        <f t="shared" ref="D4:D15" si="0">B4/$B$16</f>
        <v>0</v>
      </c>
    </row>
    <row r="5" spans="1:4">
      <c r="A5" s="271" t="s">
        <v>1</v>
      </c>
      <c r="B5" s="62">
        <f>'PCS Facilities Exp - Act FY12 '!D57</f>
        <v>28526130</v>
      </c>
      <c r="D5" s="139">
        <f t="shared" si="0"/>
        <v>0.50421654341826172</v>
      </c>
    </row>
    <row r="6" spans="1:4">
      <c r="A6" s="272" t="s">
        <v>11</v>
      </c>
      <c r="B6" s="62">
        <f>'PCS Facilities Exp - Act FY12 '!E57</f>
        <v>1412804.79</v>
      </c>
      <c r="D6" s="139">
        <f t="shared" si="0"/>
        <v>2.4972176307776876E-2</v>
      </c>
    </row>
    <row r="7" spans="1:4">
      <c r="A7" s="272" t="s">
        <v>2</v>
      </c>
      <c r="B7" s="62">
        <f>'PCS Facilities Exp - Act FY12 '!F57</f>
        <v>390396</v>
      </c>
      <c r="D7" s="139">
        <f t="shared" si="0"/>
        <v>6.9004846323113475E-3</v>
      </c>
    </row>
    <row r="8" spans="1:4">
      <c r="A8" s="272" t="s">
        <v>3</v>
      </c>
      <c r="B8" s="62">
        <f>'PCS Facilities Exp - Act FY12 '!G57</f>
        <v>443326</v>
      </c>
      <c r="D8" s="139">
        <f t="shared" si="0"/>
        <v>7.8360542887326214E-3</v>
      </c>
    </row>
    <row r="9" spans="1:4">
      <c r="A9" s="272" t="s">
        <v>22</v>
      </c>
      <c r="B9" s="62">
        <f>'PCS Facilities Exp - Act FY12 '!H57</f>
        <v>7654078</v>
      </c>
      <c r="D9" s="139">
        <f t="shared" si="0"/>
        <v>0.13529044255963785</v>
      </c>
    </row>
    <row r="10" spans="1:4">
      <c r="A10" s="272" t="s">
        <v>23</v>
      </c>
      <c r="B10" s="99"/>
      <c r="D10" s="139"/>
    </row>
    <row r="11" spans="1:4">
      <c r="A11" s="272" t="s">
        <v>4</v>
      </c>
      <c r="B11" s="62">
        <f>'PCS Facilities Exp - Act FY12 '!I57</f>
        <v>3118211</v>
      </c>
      <c r="D11" s="139">
        <f t="shared" si="0"/>
        <v>5.5116259095390835E-2</v>
      </c>
    </row>
    <row r="12" spans="1:4">
      <c r="A12" s="272" t="s">
        <v>5</v>
      </c>
      <c r="B12" s="62">
        <f>'PCS Facilities Exp - Act FY12 '!J57</f>
        <v>976178</v>
      </c>
      <c r="D12" s="139">
        <f t="shared" si="0"/>
        <v>1.7254534594105541E-2</v>
      </c>
    </row>
    <row r="13" spans="1:4">
      <c r="A13" s="272" t="s">
        <v>21</v>
      </c>
      <c r="B13" s="62">
        <f>'PCS Facilities Exp - Act FY12 '!K57</f>
        <v>256788</v>
      </c>
      <c r="D13" s="139">
        <f t="shared" si="0"/>
        <v>4.5388826928604966E-3</v>
      </c>
    </row>
    <row r="14" spans="1:4">
      <c r="A14" s="272" t="s">
        <v>24</v>
      </c>
      <c r="B14" s="62">
        <f>'PCS Facilities Exp - Act FY12 '!L57</f>
        <v>10774585</v>
      </c>
      <c r="D14" s="139">
        <f t="shared" si="0"/>
        <v>0.19044728483906689</v>
      </c>
    </row>
    <row r="15" spans="1:4">
      <c r="A15" s="272" t="s">
        <v>31</v>
      </c>
      <c r="B15" s="62">
        <f>'PCS Facilities Exp - Act FY12 '!M57</f>
        <v>3022660</v>
      </c>
      <c r="D15" s="139">
        <f t="shared" si="0"/>
        <v>5.3427337571855804E-2</v>
      </c>
    </row>
    <row r="16" spans="1:4">
      <c r="A16" s="270" t="s">
        <v>6</v>
      </c>
      <c r="B16" s="78">
        <f>SUM(B3:B15)</f>
        <v>56575156.789999999</v>
      </c>
      <c r="D16" s="140"/>
    </row>
    <row r="17" spans="1:4">
      <c r="A17" s="272"/>
      <c r="B17" s="11"/>
      <c r="D17" s="11"/>
    </row>
    <row r="18" spans="1:4">
      <c r="A18" s="272"/>
      <c r="B18" s="11"/>
      <c r="D18" s="11"/>
    </row>
    <row r="19" spans="1:4" ht="48">
      <c r="A19" s="270" t="s">
        <v>7</v>
      </c>
      <c r="B19" s="11"/>
      <c r="D19" s="4" t="s">
        <v>613</v>
      </c>
    </row>
    <row r="20" spans="1:4">
      <c r="A20" s="271" t="s">
        <v>19</v>
      </c>
      <c r="B20" s="62">
        <v>0</v>
      </c>
      <c r="D20" s="139">
        <f>B20/$B$31</f>
        <v>0</v>
      </c>
    </row>
    <row r="21" spans="1:4">
      <c r="A21" s="271" t="s">
        <v>20</v>
      </c>
      <c r="B21" s="62">
        <v>0</v>
      </c>
      <c r="D21" s="139">
        <f t="shared" ref="D21:D30" si="1">B21/$B$31</f>
        <v>0</v>
      </c>
    </row>
    <row r="22" spans="1:4">
      <c r="A22" s="272" t="s">
        <v>2</v>
      </c>
      <c r="B22" s="62">
        <f>'PCS Facilities Exp - Act FY12 '!R57</f>
        <v>28504</v>
      </c>
      <c r="D22" s="139">
        <f t="shared" si="1"/>
        <v>5.950735534001792E-4</v>
      </c>
    </row>
    <row r="23" spans="1:4">
      <c r="A23" s="272" t="s">
        <v>3</v>
      </c>
      <c r="B23" s="62">
        <f>'PCS Facilities Exp - Act FY12 '!S57</f>
        <v>476959</v>
      </c>
      <c r="D23" s="139">
        <f t="shared" si="1"/>
        <v>9.9573985039361507E-3</v>
      </c>
    </row>
    <row r="24" spans="1:4">
      <c r="A24" s="272" t="s">
        <v>25</v>
      </c>
      <c r="B24" s="62">
        <f>'PCS Facilities Exp - Act FY12 '!T57</f>
        <v>11872533</v>
      </c>
      <c r="D24" s="139">
        <f t="shared" si="1"/>
        <v>0.24786101600374999</v>
      </c>
    </row>
    <row r="25" spans="1:4">
      <c r="A25" s="272" t="s">
        <v>8</v>
      </c>
      <c r="B25" s="11"/>
      <c r="D25" s="139"/>
    </row>
    <row r="26" spans="1:4">
      <c r="A26" s="272" t="s">
        <v>4</v>
      </c>
      <c r="B26" s="62">
        <f>'PCS Facilities Exp - Act FY12 '!U57</f>
        <v>14987239</v>
      </c>
      <c r="D26" s="139">
        <f t="shared" si="1"/>
        <v>0.31288624640007534</v>
      </c>
    </row>
    <row r="27" spans="1:4">
      <c r="A27" s="272" t="s">
        <v>9</v>
      </c>
      <c r="B27" s="62">
        <f>'PCS Facilities Exp - Act FY12 '!V57</f>
        <v>8868885</v>
      </c>
      <c r="D27" s="139">
        <f t="shared" si="1"/>
        <v>0.18515432611730101</v>
      </c>
    </row>
    <row r="28" spans="1:4">
      <c r="A28" s="272" t="s">
        <v>10</v>
      </c>
      <c r="B28" s="62">
        <f>'PCS Facilities Exp - Act FY12 '!W57</f>
        <v>2177950</v>
      </c>
      <c r="D28" s="139">
        <f t="shared" si="1"/>
        <v>4.5468721780378904E-2</v>
      </c>
    </row>
    <row r="29" spans="1:4">
      <c r="A29" s="272" t="s">
        <v>26</v>
      </c>
      <c r="B29" s="62">
        <f>'PCS Facilities Exp - Act FY12 '!X57</f>
        <v>2996871</v>
      </c>
      <c r="D29" s="139">
        <f t="shared" si="1"/>
        <v>6.2565207516557267E-2</v>
      </c>
    </row>
    <row r="30" spans="1:4">
      <c r="A30" s="272" t="s">
        <v>31</v>
      </c>
      <c r="B30" s="62">
        <f>'PCS Facilities Exp - Act FY12 '!Y57</f>
        <v>6491020</v>
      </c>
      <c r="D30" s="139">
        <f t="shared" si="1"/>
        <v>0.13551201012460115</v>
      </c>
    </row>
    <row r="31" spans="1:4">
      <c r="A31" s="270" t="s">
        <v>12</v>
      </c>
      <c r="B31" s="78">
        <f>SUM(B20:B30)</f>
        <v>47899961</v>
      </c>
      <c r="D31" s="78"/>
    </row>
    <row r="32" spans="1:4">
      <c r="A32" s="272"/>
      <c r="B32" s="11"/>
      <c r="D32" s="11"/>
    </row>
    <row r="33" spans="1:4">
      <c r="A33" s="272"/>
      <c r="B33" s="11"/>
      <c r="D33" s="11"/>
    </row>
    <row r="34" spans="1:4">
      <c r="A34" s="270" t="s">
        <v>13</v>
      </c>
      <c r="B34" s="78">
        <f>B31+B16</f>
        <v>104475117.78999999</v>
      </c>
      <c r="D34" s="78"/>
    </row>
    <row r="36" spans="1:4" ht="21" customHeight="1">
      <c r="A36" s="141" t="s">
        <v>139</v>
      </c>
      <c r="B36" s="137">
        <f>'PCS Facilities Exp - Act FY12 '!AD57</f>
        <v>30314</v>
      </c>
    </row>
    <row r="37" spans="1:4" s="151" customFormat="1">
      <c r="A37" s="273"/>
    </row>
    <row r="38" spans="1:4" ht="24">
      <c r="A38" s="274" t="s">
        <v>138</v>
      </c>
      <c r="B38" s="39">
        <f>+B34/B36</f>
        <v>3446.4312789470209</v>
      </c>
    </row>
    <row r="40" spans="1:4" hidden="1">
      <c r="A40" s="275" t="s">
        <v>15</v>
      </c>
    </row>
    <row r="41" spans="1:4" hidden="1">
      <c r="A41" s="276"/>
    </row>
    <row r="42" spans="1:4" ht="24" hidden="1">
      <c r="A42" s="275" t="s">
        <v>27</v>
      </c>
      <c r="B42" s="195" t="s">
        <v>35</v>
      </c>
    </row>
    <row r="43" spans="1:4" hidden="1">
      <c r="A43" s="276" t="s">
        <v>16</v>
      </c>
    </row>
    <row r="44" spans="1:4" hidden="1"/>
    <row r="45" spans="1:4" ht="24" hidden="1">
      <c r="A45" s="269" t="s">
        <v>17</v>
      </c>
      <c r="B45" s="7">
        <v>140</v>
      </c>
    </row>
    <row r="46" spans="1:4" hidden="1"/>
    <row r="47" spans="1:4" ht="24" hidden="1">
      <c r="A47" s="269" t="s">
        <v>18</v>
      </c>
      <c r="B47" s="93">
        <v>0</v>
      </c>
    </row>
    <row r="48" spans="1:4" hidden="1"/>
    <row r="49" spans="1:2" ht="24" hidden="1">
      <c r="A49" s="274" t="s">
        <v>29</v>
      </c>
      <c r="B49" s="27" t="e">
        <f>+B38*B45/B47</f>
        <v>#DIV/0!</v>
      </c>
    </row>
    <row r="50" spans="1:2" hidden="1"/>
    <row r="51" spans="1:2" ht="24" hidden="1">
      <c r="A51" s="274" t="s">
        <v>30</v>
      </c>
      <c r="B51" s="138" t="e">
        <f>+B34*B45/B47</f>
        <v>#DIV/0!</v>
      </c>
    </row>
    <row r="52" spans="1:2" hidden="1"/>
    <row r="53" spans="1:2" hidden="1">
      <c r="A53" s="277"/>
    </row>
    <row r="54" spans="1:2" hidden="1">
      <c r="A54" s="141" t="s">
        <v>142</v>
      </c>
      <c r="B54" s="9" t="e">
        <f>#REF!+#REF!</f>
        <v>#REF!</v>
      </c>
    </row>
    <row r="55" spans="1:2" hidden="1">
      <c r="A55" s="141" t="s">
        <v>141</v>
      </c>
      <c r="B55" s="9" t="e">
        <f>B54/B36</f>
        <v>#REF!</v>
      </c>
    </row>
    <row r="56" spans="1:2" hidden="1"/>
  </sheetData>
  <phoneticPr fontId="4" type="noConversion"/>
  <printOptions gridLines="1"/>
  <pageMargins left="0.25" right="0.25" top="1.22" bottom="0.5" header="0.59" footer="0.5"/>
  <pageSetup orientation="portrait" blackAndWhite="1"/>
  <headerFooter alignWithMargins="0">
    <oddHeader>&amp;C&amp;"Arial,Bold"&amp;K000000Exhibit A2&amp;"Arial,Regular": DC PUBLIC CHARTER SCHOOL_x000D_FACILITY COST TEMPLATE - FY12 FACILITIES EXPENDITURE ACTUALS (exclusive of utilities and maintenance; inclusive of reserve requirements) as of December 31, 2013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2:D56"/>
  <sheetViews>
    <sheetView workbookViewId="0">
      <selection activeCell="H30" sqref="H30"/>
    </sheetView>
  </sheetViews>
  <sheetFormatPr baseColWidth="10" defaultColWidth="8.83203125" defaultRowHeight="12" x14ac:dyDescent="0"/>
  <cols>
    <col min="1" max="1" width="39.1640625" style="269" customWidth="1"/>
    <col min="2" max="2" width="19" style="195" customWidth="1"/>
    <col min="3" max="3" width="1.1640625" style="195" customWidth="1"/>
    <col min="4" max="4" width="12.33203125" style="195" customWidth="1"/>
    <col min="5" max="16384" width="8.83203125" style="195"/>
  </cols>
  <sheetData>
    <row r="2" spans="1:4" ht="48">
      <c r="A2" s="270" t="s">
        <v>0</v>
      </c>
      <c r="B2" s="4" t="s">
        <v>616</v>
      </c>
      <c r="D2" s="4" t="s">
        <v>612</v>
      </c>
    </row>
    <row r="3" spans="1:4">
      <c r="A3" s="271" t="s">
        <v>19</v>
      </c>
      <c r="B3" s="62">
        <v>0</v>
      </c>
      <c r="D3" s="139">
        <f>B3/$B$16</f>
        <v>0</v>
      </c>
    </row>
    <row r="4" spans="1:4">
      <c r="A4" s="271" t="s">
        <v>20</v>
      </c>
      <c r="B4" s="62">
        <v>0</v>
      </c>
      <c r="D4" s="139">
        <f t="shared" ref="D4:D15" si="0">B4/$B$16</f>
        <v>0</v>
      </c>
    </row>
    <row r="5" spans="1:4">
      <c r="A5" s="271" t="s">
        <v>1</v>
      </c>
      <c r="B5" s="62">
        <f>'PCS Facilities Exp - Act FY12 '!D57</f>
        <v>28526130</v>
      </c>
      <c r="D5" s="139">
        <f t="shared" si="0"/>
        <v>0.53267600410606364</v>
      </c>
    </row>
    <row r="6" spans="1:4">
      <c r="A6" s="272" t="s">
        <v>11</v>
      </c>
      <c r="B6" s="62">
        <f>'PCS Facilities Exp - Act FY12 '!E57</f>
        <v>1412804.79</v>
      </c>
      <c r="D6" s="139">
        <f t="shared" si="0"/>
        <v>2.6381679187436446E-2</v>
      </c>
    </row>
    <row r="7" spans="1:4">
      <c r="A7" s="272" t="s">
        <v>2</v>
      </c>
      <c r="B7" s="62">
        <f>'PCS Facilities Exp - Act FY12 '!F57</f>
        <v>390396</v>
      </c>
      <c r="D7" s="139">
        <f t="shared" si="0"/>
        <v>7.2899682255879372E-3</v>
      </c>
    </row>
    <row r="8" spans="1:4">
      <c r="A8" s="272" t="s">
        <v>3</v>
      </c>
      <c r="B8" s="62">
        <f>'PCS Facilities Exp - Act FY12 '!G57</f>
        <v>443326</v>
      </c>
      <c r="D8" s="139">
        <f t="shared" si="0"/>
        <v>8.2783441776478183E-3</v>
      </c>
    </row>
    <row r="9" spans="1:4">
      <c r="A9" s="272" t="s">
        <v>22</v>
      </c>
      <c r="B9" s="62">
        <f>'PCS Facilities Exp - Act FY12 '!H57</f>
        <v>7654078</v>
      </c>
      <c r="D9" s="139">
        <f t="shared" si="0"/>
        <v>0.14292663197412797</v>
      </c>
    </row>
    <row r="10" spans="1:4">
      <c r="A10" s="272" t="s">
        <v>23</v>
      </c>
      <c r="B10" s="99"/>
      <c r="D10" s="139"/>
    </row>
    <row r="11" spans="1:4">
      <c r="A11" s="272" t="s">
        <v>4</v>
      </c>
      <c r="B11" s="62">
        <f>'PCS Facilities Exp - Act FY12 '!I57</f>
        <v>3118211</v>
      </c>
      <c r="D11" s="139">
        <f t="shared" si="0"/>
        <v>5.8227182426763564E-2</v>
      </c>
    </row>
    <row r="12" spans="1:4">
      <c r="A12" s="272" t="s">
        <v>5</v>
      </c>
      <c r="B12" s="62">
        <f>'PCS Facilities Exp - Act FY12 '!J57</f>
        <v>976178</v>
      </c>
      <c r="D12" s="139">
        <f t="shared" si="0"/>
        <v>1.8228431137916324E-2</v>
      </c>
    </row>
    <row r="13" spans="1:4">
      <c r="A13" s="272" t="s">
        <v>21</v>
      </c>
      <c r="B13" s="62">
        <f>'PCS Facilities Exp - Act FY12 '!K57</f>
        <v>256788</v>
      </c>
      <c r="D13" s="139">
        <f t="shared" si="0"/>
        <v>4.7950705455800657E-3</v>
      </c>
    </row>
    <row r="14" spans="1:4">
      <c r="A14" s="272" t="s">
        <v>24</v>
      </c>
      <c r="B14" s="62">
        <f>'PCS Facilities Exp - Act FY12 '!L57</f>
        <v>10774585</v>
      </c>
      <c r="D14" s="139">
        <f t="shared" si="0"/>
        <v>0.20119668821887624</v>
      </c>
    </row>
    <row r="15" spans="1:4">
      <c r="A15" s="272" t="s">
        <v>31</v>
      </c>
      <c r="B15" s="62">
        <v>0</v>
      </c>
      <c r="D15" s="139">
        <f t="shared" si="0"/>
        <v>0</v>
      </c>
    </row>
    <row r="16" spans="1:4">
      <c r="A16" s="270" t="s">
        <v>6</v>
      </c>
      <c r="B16" s="78">
        <f>SUM(B3:B15)</f>
        <v>53552496.789999999</v>
      </c>
      <c r="D16" s="140"/>
    </row>
    <row r="17" spans="1:4">
      <c r="A17" s="272"/>
      <c r="B17" s="11"/>
      <c r="D17" s="11"/>
    </row>
    <row r="18" spans="1:4">
      <c r="A18" s="272"/>
      <c r="B18" s="11"/>
      <c r="D18" s="11"/>
    </row>
    <row r="19" spans="1:4" ht="48">
      <c r="A19" s="270" t="s">
        <v>7</v>
      </c>
      <c r="B19" s="11"/>
      <c r="D19" s="4" t="s">
        <v>613</v>
      </c>
    </row>
    <row r="20" spans="1:4">
      <c r="A20" s="271" t="s">
        <v>19</v>
      </c>
      <c r="B20" s="62">
        <v>0</v>
      </c>
      <c r="D20" s="139">
        <f>B20/$B$31</f>
        <v>0</v>
      </c>
    </row>
    <row r="21" spans="1:4">
      <c r="A21" s="271" t="s">
        <v>20</v>
      </c>
      <c r="B21" s="62">
        <v>0</v>
      </c>
      <c r="D21" s="139">
        <f t="shared" ref="D21:D30" si="1">B21/$B$31</f>
        <v>0</v>
      </c>
    </row>
    <row r="22" spans="1:4">
      <c r="A22" s="272" t="s">
        <v>2</v>
      </c>
      <c r="B22" s="62">
        <f>'PCS Facilities Exp - Act FY12 '!R57</f>
        <v>28504</v>
      </c>
      <c r="D22" s="139">
        <f t="shared" si="1"/>
        <v>6.88353754325666E-4</v>
      </c>
    </row>
    <row r="23" spans="1:4">
      <c r="A23" s="272" t="s">
        <v>3</v>
      </c>
      <c r="B23" s="62">
        <f>'PCS Facilities Exp - Act FY12 '!S57</f>
        <v>476959</v>
      </c>
      <c r="D23" s="139">
        <f t="shared" si="1"/>
        <v>1.1518261237349682E-2</v>
      </c>
    </row>
    <row r="24" spans="1:4">
      <c r="A24" s="272" t="s">
        <v>25</v>
      </c>
      <c r="B24" s="62">
        <f>'PCS Facilities Exp - Act FY12 '!T57</f>
        <v>11872533</v>
      </c>
      <c r="D24" s="139">
        <f t="shared" si="1"/>
        <v>0.28671423884035091</v>
      </c>
    </row>
    <row r="25" spans="1:4">
      <c r="A25" s="272" t="s">
        <v>8</v>
      </c>
      <c r="B25" s="11"/>
      <c r="D25" s="139"/>
    </row>
    <row r="26" spans="1:4">
      <c r="A26" s="272" t="s">
        <v>4</v>
      </c>
      <c r="B26" s="62">
        <f>'PCS Facilities Exp - Act FY12 '!U57</f>
        <v>14987239</v>
      </c>
      <c r="D26" s="139">
        <f t="shared" si="1"/>
        <v>0.3619324386972369</v>
      </c>
    </row>
    <row r="27" spans="1:4">
      <c r="A27" s="272" t="s">
        <v>9</v>
      </c>
      <c r="B27" s="62">
        <f>'PCS Facilities Exp - Act FY12 '!V57</f>
        <v>8868885</v>
      </c>
      <c r="D27" s="139">
        <f t="shared" si="1"/>
        <v>0.21417802015270085</v>
      </c>
    </row>
    <row r="28" spans="1:4">
      <c r="A28" s="272" t="s">
        <v>10</v>
      </c>
      <c r="B28" s="62">
        <f>'PCS Facilities Exp - Act FY12 '!W57</f>
        <v>2177950</v>
      </c>
      <c r="D28" s="139">
        <f t="shared" si="1"/>
        <v>5.259612893746788E-2</v>
      </c>
    </row>
    <row r="29" spans="1:4">
      <c r="A29" s="272" t="s">
        <v>26</v>
      </c>
      <c r="B29" s="62">
        <f>'PCS Facilities Exp - Act FY12 '!X57</f>
        <v>2996871</v>
      </c>
      <c r="D29" s="139">
        <f t="shared" si="1"/>
        <v>7.2372558380568094E-2</v>
      </c>
    </row>
    <row r="30" spans="1:4">
      <c r="A30" s="272" t="s">
        <v>31</v>
      </c>
      <c r="B30" s="62">
        <v>0</v>
      </c>
      <c r="D30" s="139">
        <f t="shared" si="1"/>
        <v>0</v>
      </c>
    </row>
    <row r="31" spans="1:4">
      <c r="A31" s="270" t="s">
        <v>12</v>
      </c>
      <c r="B31" s="78">
        <f>SUM(B20:B30)</f>
        <v>41408941</v>
      </c>
      <c r="D31" s="78"/>
    </row>
    <row r="32" spans="1:4">
      <c r="A32" s="272"/>
      <c r="B32" s="11"/>
      <c r="D32" s="11"/>
    </row>
    <row r="33" spans="1:4">
      <c r="A33" s="272"/>
      <c r="B33" s="11"/>
      <c r="D33" s="11"/>
    </row>
    <row r="34" spans="1:4">
      <c r="A34" s="270" t="s">
        <v>13</v>
      </c>
      <c r="B34" s="78">
        <f>B31+B16</f>
        <v>94961437.789999992</v>
      </c>
      <c r="D34" s="78"/>
    </row>
    <row r="36" spans="1:4" ht="21" customHeight="1">
      <c r="A36" s="141" t="s">
        <v>139</v>
      </c>
      <c r="B36" s="137">
        <f>'PCS Facilities Exp - Act FY12 '!AD57</f>
        <v>30314</v>
      </c>
    </row>
    <row r="37" spans="1:4" s="151" customFormat="1">
      <c r="A37" s="273"/>
    </row>
    <row r="38" spans="1:4" ht="24">
      <c r="A38" s="274" t="s">
        <v>138</v>
      </c>
      <c r="B38" s="39">
        <f>+B34/B36</f>
        <v>3132.593448241736</v>
      </c>
    </row>
    <row r="40" spans="1:4" hidden="1">
      <c r="A40" s="275" t="s">
        <v>15</v>
      </c>
    </row>
    <row r="41" spans="1:4" hidden="1">
      <c r="A41" s="276"/>
    </row>
    <row r="42" spans="1:4" ht="24" hidden="1">
      <c r="A42" s="275" t="s">
        <v>27</v>
      </c>
      <c r="B42" s="195" t="s">
        <v>35</v>
      </c>
    </row>
    <row r="43" spans="1:4" hidden="1">
      <c r="A43" s="276" t="s">
        <v>16</v>
      </c>
    </row>
    <row r="44" spans="1:4" hidden="1"/>
    <row r="45" spans="1:4" ht="24" hidden="1">
      <c r="A45" s="269" t="s">
        <v>17</v>
      </c>
      <c r="B45" s="7">
        <v>140</v>
      </c>
    </row>
    <row r="46" spans="1:4" hidden="1"/>
    <row r="47" spans="1:4" ht="24" hidden="1">
      <c r="A47" s="269" t="s">
        <v>18</v>
      </c>
      <c r="B47" s="93">
        <v>0</v>
      </c>
    </row>
    <row r="48" spans="1:4" hidden="1"/>
    <row r="49" spans="1:2" ht="24" hidden="1">
      <c r="A49" s="274" t="s">
        <v>29</v>
      </c>
      <c r="B49" s="27" t="e">
        <f>+B38*B45/B47</f>
        <v>#DIV/0!</v>
      </c>
    </row>
    <row r="50" spans="1:2" hidden="1"/>
    <row r="51" spans="1:2" ht="24" hidden="1">
      <c r="A51" s="274" t="s">
        <v>30</v>
      </c>
      <c r="B51" s="138" t="e">
        <f>+B34*B45/B47</f>
        <v>#DIV/0!</v>
      </c>
    </row>
    <row r="52" spans="1:2" hidden="1"/>
    <row r="53" spans="1:2" hidden="1">
      <c r="A53" s="277"/>
    </row>
    <row r="54" spans="1:2" hidden="1">
      <c r="A54" s="141" t="s">
        <v>142</v>
      </c>
      <c r="B54" s="9" t="e">
        <f>#REF!+#REF!</f>
        <v>#REF!</v>
      </c>
    </row>
    <row r="55" spans="1:2" hidden="1">
      <c r="A55" s="141" t="s">
        <v>141</v>
      </c>
      <c r="B55" s="9" t="e">
        <f>B54/B36</f>
        <v>#REF!</v>
      </c>
    </row>
    <row r="56" spans="1:2" hidden="1"/>
  </sheetData>
  <phoneticPr fontId="4" type="noConversion"/>
  <printOptions gridLines="1"/>
  <pageMargins left="0.25" right="0.25" top="1.22" bottom="0.5" header="0.59" footer="0.5"/>
  <pageSetup orientation="portrait" blackAndWhite="1"/>
  <headerFooter alignWithMargins="0">
    <oddHeader>&amp;C&amp;"Arial,Bold"&amp;K000000Exhibit A3&amp;"Arial,Regular": DC PUBLIC CHARTER SCHOOL_x000D_FACILITY COST TEMPLATE - FY12 FACILITIES EXPENDITURE ACTUALS (exclusive of utilities, maintenance and reserve requirements) as of December 31, 2013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H56"/>
  <sheetViews>
    <sheetView topLeftCell="A31" zoomScale="75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  <col min="6" max="6" width="11.33203125" bestFit="1" customWidth="1"/>
    <col min="7" max="7" width="10.33203125" bestFit="1" customWidth="1"/>
  </cols>
  <sheetData>
    <row r="1" spans="1:4" ht="27.75" customHeight="1">
      <c r="A1" s="3" t="s">
        <v>0</v>
      </c>
      <c r="B1" s="4" t="s">
        <v>34</v>
      </c>
      <c r="C1" s="4" t="s">
        <v>32</v>
      </c>
      <c r="D1" s="4" t="s">
        <v>33</v>
      </c>
    </row>
    <row r="2" spans="1:4" ht="18" customHeight="1">
      <c r="A2" s="5" t="s">
        <v>19</v>
      </c>
      <c r="B2" s="10"/>
      <c r="C2" s="10"/>
      <c r="D2" s="10"/>
    </row>
    <row r="3" spans="1:4" ht="18" customHeight="1">
      <c r="A3" s="5" t="s">
        <v>20</v>
      </c>
      <c r="B3" s="10"/>
      <c r="C3" s="10"/>
      <c r="D3" s="10"/>
    </row>
    <row r="4" spans="1:4" ht="18" customHeight="1">
      <c r="A4" s="5" t="s">
        <v>1</v>
      </c>
      <c r="B4" s="11">
        <v>2396027.48</v>
      </c>
      <c r="C4" s="11">
        <f>3368222+132088</f>
        <v>3500310</v>
      </c>
      <c r="D4" s="11">
        <f>79826*49+132088</f>
        <v>4043562</v>
      </c>
    </row>
    <row r="5" spans="1:4" ht="18" customHeight="1">
      <c r="A5" s="7" t="s">
        <v>11</v>
      </c>
      <c r="B5" s="11"/>
      <c r="C5" s="11"/>
      <c r="D5" s="11"/>
    </row>
    <row r="6" spans="1:4" ht="18" customHeight="1">
      <c r="A6" s="7" t="s">
        <v>2</v>
      </c>
      <c r="B6" s="11"/>
      <c r="C6" s="11"/>
      <c r="D6" s="11"/>
    </row>
    <row r="7" spans="1:4" ht="18" customHeight="1">
      <c r="A7" s="7" t="s">
        <v>3</v>
      </c>
      <c r="B7" s="11"/>
      <c r="C7" s="11"/>
      <c r="D7" s="11"/>
    </row>
    <row r="8" spans="1:4" ht="18" customHeight="1">
      <c r="A8" s="7" t="s">
        <v>22</v>
      </c>
      <c r="B8" s="11">
        <v>450805</v>
      </c>
      <c r="C8" s="11">
        <v>500000</v>
      </c>
      <c r="D8" s="11">
        <v>650000</v>
      </c>
    </row>
    <row r="9" spans="1:4" ht="18" customHeight="1">
      <c r="A9" s="7" t="s">
        <v>23</v>
      </c>
      <c r="B9" s="11"/>
      <c r="C9" s="11"/>
      <c r="D9" s="11"/>
    </row>
    <row r="10" spans="1:4" ht="18" customHeight="1">
      <c r="A10" s="7" t="s">
        <v>4</v>
      </c>
      <c r="B10" s="11"/>
      <c r="C10" s="11"/>
      <c r="D10" s="11"/>
    </row>
    <row r="11" spans="1:4" ht="18" customHeight="1">
      <c r="A11" s="7" t="s">
        <v>5</v>
      </c>
      <c r="B11" s="11"/>
      <c r="C11" s="11"/>
      <c r="D11" s="11"/>
    </row>
    <row r="12" spans="1:4" ht="18" customHeight="1">
      <c r="A12" s="7" t="s">
        <v>21</v>
      </c>
      <c r="B12" s="11"/>
      <c r="C12" s="11"/>
      <c r="D12" s="11"/>
    </row>
    <row r="13" spans="1:4" ht="18" customHeight="1">
      <c r="A13" s="7" t="s">
        <v>24</v>
      </c>
      <c r="B13" s="11">
        <v>235380</v>
      </c>
      <c r="C13" s="11">
        <v>2000000</v>
      </c>
      <c r="D13" s="11">
        <f>1000000+300000</f>
        <v>1300000</v>
      </c>
    </row>
    <row r="14" spans="1:4" ht="18" customHeight="1">
      <c r="A14" s="7" t="s">
        <v>31</v>
      </c>
      <c r="B14" s="11">
        <v>2200000</v>
      </c>
      <c r="C14" s="11">
        <v>2200000</v>
      </c>
      <c r="D14" s="11">
        <v>2200000</v>
      </c>
    </row>
    <row r="15" spans="1:4" ht="18" customHeight="1">
      <c r="A15" s="3" t="s">
        <v>6</v>
      </c>
      <c r="B15" s="11">
        <f>SUM(B2:B14)</f>
        <v>5282212.4800000004</v>
      </c>
      <c r="C15" s="11">
        <f>SUM(C2:C14)</f>
        <v>8200310</v>
      </c>
      <c r="D15" s="11">
        <f>SUM(D2:D14)</f>
        <v>8193562</v>
      </c>
    </row>
    <row r="16" spans="1:4" ht="18" customHeight="1">
      <c r="A16" s="7"/>
      <c r="B16" s="11"/>
      <c r="C16" s="11"/>
      <c r="D16" s="11"/>
    </row>
    <row r="17" spans="1:4" ht="18" customHeight="1">
      <c r="A17" s="7"/>
      <c r="B17" s="11"/>
      <c r="C17" s="11"/>
      <c r="D17" s="11"/>
    </row>
    <row r="18" spans="1:4" ht="18" customHeight="1">
      <c r="A18" s="3" t="s">
        <v>7</v>
      </c>
      <c r="B18" s="11"/>
      <c r="C18" s="11"/>
      <c r="D18" s="11"/>
    </row>
    <row r="19" spans="1:4" ht="18" customHeight="1">
      <c r="A19" s="5" t="s">
        <v>19</v>
      </c>
      <c r="B19" s="11"/>
      <c r="C19" s="11"/>
      <c r="D19" s="11"/>
    </row>
    <row r="20" spans="1:4" ht="18" customHeight="1">
      <c r="A20" s="5" t="s">
        <v>20</v>
      </c>
      <c r="B20" s="11"/>
      <c r="C20" s="11"/>
      <c r="D20" s="11"/>
    </row>
    <row r="21" spans="1:4" ht="18" customHeight="1">
      <c r="A21" s="7" t="s">
        <v>2</v>
      </c>
      <c r="B21" s="11"/>
      <c r="C21" s="11"/>
      <c r="D21" s="11"/>
    </row>
    <row r="22" spans="1:4" ht="18" customHeight="1">
      <c r="A22" s="7" t="s">
        <v>3</v>
      </c>
      <c r="B22" s="11"/>
      <c r="C22" s="11"/>
      <c r="D22" s="11"/>
    </row>
    <row r="23" spans="1:4" ht="18" customHeight="1">
      <c r="A23" s="7" t="s">
        <v>25</v>
      </c>
      <c r="B23" s="11"/>
      <c r="C23" s="11"/>
      <c r="D23" s="11"/>
    </row>
    <row r="24" spans="1:4" ht="18" customHeight="1">
      <c r="A24" s="7" t="s">
        <v>8</v>
      </c>
      <c r="B24" s="11"/>
      <c r="C24" s="11"/>
      <c r="D24" s="11"/>
    </row>
    <row r="25" spans="1:4" ht="18" customHeight="1">
      <c r="A25" s="7" t="s">
        <v>4</v>
      </c>
      <c r="B25" s="11"/>
      <c r="C25" s="11"/>
      <c r="D25" s="11"/>
    </row>
    <row r="26" spans="1:4" ht="18" customHeight="1">
      <c r="A26" s="7" t="s">
        <v>9</v>
      </c>
      <c r="B26" s="11"/>
      <c r="C26" s="11"/>
      <c r="D26" s="11"/>
    </row>
    <row r="27" spans="1:4" ht="18" customHeight="1">
      <c r="A27" s="7" t="s">
        <v>10</v>
      </c>
      <c r="B27" s="11"/>
      <c r="C27" s="11"/>
      <c r="D27" s="11"/>
    </row>
    <row r="28" spans="1:4" ht="18" customHeight="1">
      <c r="A28" s="7" t="s">
        <v>26</v>
      </c>
      <c r="B28" s="11"/>
      <c r="C28" s="11"/>
      <c r="D28" s="11"/>
    </row>
    <row r="29" spans="1:4" ht="18" customHeight="1">
      <c r="A29" s="7" t="s">
        <v>31</v>
      </c>
      <c r="B29" s="11"/>
      <c r="C29" s="11"/>
      <c r="D29" s="11"/>
    </row>
    <row r="30" spans="1:4" ht="18" customHeight="1">
      <c r="A30" s="3" t="s">
        <v>12</v>
      </c>
      <c r="B30" s="11">
        <f>SUM(B19:B29)</f>
        <v>0</v>
      </c>
      <c r="C30" s="11">
        <f>SUM(C19:C29)</f>
        <v>0</v>
      </c>
      <c r="D30" s="11">
        <f>SUM(D19:D29)</f>
        <v>0</v>
      </c>
    </row>
    <row r="31" spans="1:4" ht="18" customHeight="1">
      <c r="A31" s="7"/>
      <c r="B31" s="11"/>
      <c r="C31" s="11"/>
      <c r="D31" s="11"/>
    </row>
    <row r="32" spans="1:4" ht="18" customHeight="1">
      <c r="A32" s="7"/>
      <c r="B32" s="11"/>
      <c r="C32" s="11"/>
      <c r="D32" s="11"/>
    </row>
    <row r="33" spans="1:8" ht="18" customHeight="1">
      <c r="A33" s="3" t="s">
        <v>13</v>
      </c>
      <c r="B33" s="11">
        <f>B30+B15</f>
        <v>5282212.4800000004</v>
      </c>
      <c r="C33" s="11">
        <f>C30+C15</f>
        <v>8200310</v>
      </c>
      <c r="D33" s="11">
        <f>D30+D15</f>
        <v>8193562</v>
      </c>
    </row>
    <row r="34" spans="1:8" ht="18" customHeight="1"/>
    <row r="35" spans="1:8" ht="18" customHeight="1">
      <c r="A35" s="2" t="s">
        <v>14</v>
      </c>
      <c r="B35" s="35">
        <v>1250</v>
      </c>
      <c r="C35" s="35">
        <v>1550</v>
      </c>
      <c r="D35" s="35">
        <v>1850</v>
      </c>
    </row>
    <row r="36" spans="1:8" ht="18" customHeight="1">
      <c r="B36" s="35"/>
      <c r="C36" s="35"/>
      <c r="D36" s="35"/>
    </row>
    <row r="37" spans="1:8" ht="18" customHeight="1">
      <c r="A37" s="1" t="s">
        <v>28</v>
      </c>
      <c r="B37" s="36">
        <f>B33/B35</f>
        <v>4225.7699840000005</v>
      </c>
      <c r="C37" s="36">
        <f>C33/C35</f>
        <v>5290.5225806451617</v>
      </c>
      <c r="D37" s="36">
        <f>D33/D35</f>
        <v>4428.952432432432</v>
      </c>
      <c r="F37" s="35"/>
      <c r="G37" s="35"/>
      <c r="H37" s="35"/>
    </row>
    <row r="38" spans="1:8" ht="18" customHeight="1">
      <c r="B38" s="35"/>
      <c r="C38" s="35"/>
      <c r="D38" s="35"/>
    </row>
    <row r="39" spans="1:8" ht="18" customHeight="1">
      <c r="A39" s="1" t="s">
        <v>15</v>
      </c>
      <c r="B39" s="35"/>
      <c r="C39" s="35"/>
      <c r="D39" s="35"/>
      <c r="G39" s="35"/>
    </row>
    <row r="40" spans="1:8" ht="18" customHeight="1">
      <c r="B40" s="35"/>
      <c r="C40" s="35"/>
      <c r="D40" s="35"/>
    </row>
    <row r="41" spans="1:8" ht="18" customHeight="1">
      <c r="B41" s="35"/>
      <c r="C41" s="35"/>
      <c r="D41" s="35"/>
    </row>
    <row r="42" spans="1:8" ht="18" customHeight="1">
      <c r="A42" s="1" t="s">
        <v>27</v>
      </c>
      <c r="F42" s="35"/>
    </row>
    <row r="43" spans="1:8" ht="18" customHeight="1">
      <c r="A43" t="s">
        <v>16</v>
      </c>
      <c r="B43" s="35">
        <f>69000/B35</f>
        <v>55.2</v>
      </c>
      <c r="C43" s="35">
        <f>73684/C35</f>
        <v>47.538064516129033</v>
      </c>
      <c r="D43" s="35">
        <f>79826/D35</f>
        <v>43.149189189189187</v>
      </c>
    </row>
    <row r="44" spans="1:8" ht="18" customHeight="1">
      <c r="B44" s="35"/>
      <c r="C44" s="35"/>
      <c r="D44" s="35"/>
    </row>
    <row r="45" spans="1:8" ht="18" customHeight="1">
      <c r="A45" t="s">
        <v>17</v>
      </c>
      <c r="B45" s="35">
        <v>140</v>
      </c>
      <c r="C45" s="35">
        <v>140</v>
      </c>
      <c r="D45" s="35">
        <v>140</v>
      </c>
    </row>
    <row r="46" spans="1:8" ht="18" customHeight="1">
      <c r="B46" s="35"/>
      <c r="C46" s="35"/>
      <c r="D46" s="35"/>
    </row>
    <row r="47" spans="1:8" ht="18" customHeight="1">
      <c r="A47" t="s">
        <v>18</v>
      </c>
      <c r="B47" s="35">
        <f>69000</f>
        <v>69000</v>
      </c>
      <c r="C47" s="35">
        <f>4683.5+69000</f>
        <v>73683.5</v>
      </c>
      <c r="D47" s="35">
        <f>10826+69000</f>
        <v>79826</v>
      </c>
    </row>
    <row r="48" spans="1:8" ht="18" customHeight="1">
      <c r="B48" s="35"/>
      <c r="C48" s="35"/>
      <c r="D48" s="35"/>
    </row>
    <row r="49" spans="1:4" ht="18" customHeight="1">
      <c r="A49" s="1" t="s">
        <v>29</v>
      </c>
      <c r="B49" s="36">
        <f>B45/B43*B37</f>
        <v>10717.532568115943</v>
      </c>
      <c r="C49" s="36">
        <f>C45/C43*C37</f>
        <v>15580.633516095761</v>
      </c>
      <c r="D49" s="36">
        <f>D45/D43*D37</f>
        <v>14369.988224388044</v>
      </c>
    </row>
    <row r="50" spans="1:4" ht="18" customHeight="1">
      <c r="B50" s="35"/>
      <c r="C50" s="35"/>
      <c r="D50" s="35"/>
    </row>
    <row r="51" spans="1:4" ht="18" customHeight="1">
      <c r="A51" s="1" t="s">
        <v>30</v>
      </c>
      <c r="B51" s="36">
        <f>B49*B35</f>
        <v>13396915.710144928</v>
      </c>
      <c r="C51" s="36">
        <f>C49*C35</f>
        <v>24149981.94994843</v>
      </c>
      <c r="D51" s="36">
        <f>D49*D35</f>
        <v>26584478.215117879</v>
      </c>
    </row>
    <row r="52" spans="1:4" ht="18" customHeight="1"/>
    <row r="53" spans="1:4" ht="18" customHeight="1"/>
    <row r="54" spans="1:4" ht="18" customHeight="1"/>
    <row r="55" spans="1:4" ht="18" customHeight="1"/>
    <row r="56" spans="1:4" ht="18" customHeight="1"/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AG258"/>
  <sheetViews>
    <sheetView zoomScale="80" zoomScaleNormal="80" zoomScalePageLayoutView="80" workbookViewId="0">
      <pane xSplit="1" ySplit="3" topLeftCell="L4" activePane="bottomRight" state="frozenSplit"/>
      <selection activeCell="A2" sqref="A2"/>
      <selection pane="topRight" activeCell="A2" sqref="A2"/>
      <selection pane="bottomLeft" activeCell="A2" sqref="A2"/>
      <selection pane="bottomRight" sqref="A1:XFD1048576"/>
    </sheetView>
  </sheetViews>
  <sheetFormatPr baseColWidth="10" defaultColWidth="9.1640625" defaultRowHeight="12" x14ac:dyDescent="0"/>
  <cols>
    <col min="1" max="1" width="39.1640625" style="239" customWidth="1"/>
    <col min="2" max="2" width="13.5" style="124" bestFit="1" customWidth="1"/>
    <col min="3" max="3" width="13.1640625" style="124" customWidth="1"/>
    <col min="4" max="4" width="14" style="124" customWidth="1"/>
    <col min="5" max="5" width="12.1640625" style="124" customWidth="1"/>
    <col min="6" max="6" width="13.5" style="124" bestFit="1" customWidth="1"/>
    <col min="7" max="7" width="12.1640625" style="124" bestFit="1" customWidth="1"/>
    <col min="8" max="8" width="13" style="124" customWidth="1"/>
    <col min="9" max="9" width="14.1640625" style="124" customWidth="1"/>
    <col min="10" max="10" width="13" style="124" customWidth="1"/>
    <col min="11" max="11" width="12.1640625" style="124" bestFit="1" customWidth="1"/>
    <col min="12" max="12" width="13.1640625" style="124" customWidth="1"/>
    <col min="13" max="13" width="12" style="124" customWidth="1"/>
    <col min="14" max="14" width="14.33203125" style="124" customWidth="1"/>
    <col min="15" max="15" width="0.83203125" style="124" customWidth="1"/>
    <col min="16" max="17" width="13.5" style="124" bestFit="1" customWidth="1"/>
    <col min="18" max="19" width="12.1640625" style="124" bestFit="1" customWidth="1"/>
    <col min="20" max="20" width="13.33203125" style="124" customWidth="1"/>
    <col min="21" max="21" width="14.5" style="124" bestFit="1" customWidth="1"/>
    <col min="22" max="22" width="13.5" style="124" bestFit="1" customWidth="1"/>
    <col min="23" max="23" width="14.6640625" style="124" customWidth="1"/>
    <col min="24" max="25" width="13.5" style="124" bestFit="1" customWidth="1"/>
    <col min="26" max="26" width="14.5" style="124" bestFit="1" customWidth="1"/>
    <col min="27" max="27" width="1.6640625" style="124" customWidth="1"/>
    <col min="28" max="28" width="14.1640625" style="124" customWidth="1"/>
    <col min="29" max="29" width="1.83203125" style="124" customWidth="1"/>
    <col min="30" max="30" width="11.5" style="124" customWidth="1"/>
    <col min="31" max="31" width="1.83203125" style="124" customWidth="1"/>
    <col min="32" max="32" width="13" style="124" customWidth="1"/>
    <col min="33" max="16384" width="9.1640625" style="124"/>
  </cols>
  <sheetData>
    <row r="1" spans="1:32" ht="23.25" customHeight="1">
      <c r="B1" s="307" t="s">
        <v>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P1" s="307" t="s">
        <v>7</v>
      </c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32" ht="12.75" customHeight="1">
      <c r="A2" s="309" t="s">
        <v>622</v>
      </c>
      <c r="B2" s="296" t="s">
        <v>19</v>
      </c>
      <c r="C2" s="296" t="s">
        <v>20</v>
      </c>
      <c r="D2" s="296" t="s">
        <v>1</v>
      </c>
      <c r="E2" s="296" t="s">
        <v>11</v>
      </c>
      <c r="F2" s="296" t="s">
        <v>2</v>
      </c>
      <c r="G2" s="296" t="s">
        <v>3</v>
      </c>
      <c r="H2" s="296" t="s">
        <v>22</v>
      </c>
      <c r="I2" s="297" t="s">
        <v>23</v>
      </c>
      <c r="J2" s="297"/>
      <c r="K2" s="297"/>
      <c r="L2" s="296" t="s">
        <v>24</v>
      </c>
      <c r="M2" s="296" t="s">
        <v>31</v>
      </c>
      <c r="N2" s="298" t="s">
        <v>6</v>
      </c>
      <c r="O2" s="169"/>
      <c r="P2" s="292" t="s">
        <v>19</v>
      </c>
      <c r="Q2" s="292" t="s">
        <v>20</v>
      </c>
      <c r="R2" s="292" t="s">
        <v>2</v>
      </c>
      <c r="S2" s="292" t="s">
        <v>3</v>
      </c>
      <c r="T2" s="292" t="s">
        <v>25</v>
      </c>
      <c r="U2" s="170" t="s">
        <v>8</v>
      </c>
      <c r="V2" s="170"/>
      <c r="W2" s="170"/>
      <c r="X2" s="292" t="s">
        <v>26</v>
      </c>
      <c r="Y2" s="292" t="s">
        <v>31</v>
      </c>
      <c r="Z2" s="298" t="s">
        <v>12</v>
      </c>
      <c r="AA2" s="199"/>
      <c r="AB2" s="300" t="s">
        <v>13</v>
      </c>
      <c r="AC2" s="199"/>
      <c r="AD2" s="318" t="s">
        <v>181</v>
      </c>
      <c r="AE2" s="169"/>
      <c r="AF2" s="320" t="s">
        <v>180</v>
      </c>
    </row>
    <row r="3" spans="1:32" ht="60.75" customHeight="1">
      <c r="A3" s="296"/>
      <c r="B3" s="296"/>
      <c r="C3" s="296"/>
      <c r="D3" s="296"/>
      <c r="E3" s="296"/>
      <c r="F3" s="296"/>
      <c r="G3" s="296"/>
      <c r="H3" s="296"/>
      <c r="I3" s="235" t="s">
        <v>124</v>
      </c>
      <c r="J3" s="235" t="s">
        <v>5</v>
      </c>
      <c r="K3" s="236" t="s">
        <v>123</v>
      </c>
      <c r="L3" s="296"/>
      <c r="M3" s="296"/>
      <c r="N3" s="299"/>
      <c r="O3" s="169"/>
      <c r="P3" s="292"/>
      <c r="Q3" s="292"/>
      <c r="R3" s="292"/>
      <c r="S3" s="292"/>
      <c r="T3" s="292"/>
      <c r="U3" s="234" t="s">
        <v>4</v>
      </c>
      <c r="V3" s="234" t="s">
        <v>9</v>
      </c>
      <c r="W3" s="234" t="s">
        <v>123</v>
      </c>
      <c r="X3" s="292"/>
      <c r="Y3" s="292"/>
      <c r="Z3" s="299"/>
      <c r="AA3" s="200"/>
      <c r="AB3" s="301"/>
      <c r="AC3" s="200"/>
      <c r="AD3" s="319"/>
      <c r="AE3" s="169"/>
      <c r="AF3" s="320"/>
    </row>
    <row r="4" spans="1:32">
      <c r="A4" s="219" t="str">
        <f>'FY14 vs. ceiling by LEA'!A2</f>
        <v>Achievement Preparatory Academy PCS</v>
      </c>
      <c r="B4" s="205">
        <v>100000</v>
      </c>
      <c r="C4" s="205">
        <v>180000</v>
      </c>
      <c r="D4" s="205">
        <v>175000</v>
      </c>
      <c r="E4" s="205">
        <v>0</v>
      </c>
      <c r="F4" s="205">
        <v>0</v>
      </c>
      <c r="G4" s="205">
        <v>0</v>
      </c>
      <c r="H4" s="205">
        <v>165050</v>
      </c>
      <c r="I4" s="205">
        <v>326834</v>
      </c>
      <c r="J4" s="205">
        <v>148791</v>
      </c>
      <c r="K4" s="205"/>
      <c r="L4" s="205"/>
      <c r="M4" s="205"/>
      <c r="N4" s="205">
        <f>SUM(B4:M4)</f>
        <v>1095675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>
        <f>SUM(P4:Y4)</f>
        <v>0</v>
      </c>
      <c r="AA4" s="205"/>
      <c r="AB4" s="205">
        <f t="shared" ref="AB4:AB53" si="0">N4+Z4</f>
        <v>1095675</v>
      </c>
      <c r="AC4" s="205"/>
      <c r="AD4" s="229">
        <f>'FY14 Projections by grd (PCS)'!U2</f>
        <v>644</v>
      </c>
      <c r="AE4" s="220"/>
      <c r="AF4" s="221">
        <f>AB4/AD4</f>
        <v>1701.358695652174</v>
      </c>
    </row>
    <row r="5" spans="1:32">
      <c r="A5" s="238" t="str">
        <f>'FY14 vs. ceiling by LEA'!A3</f>
        <v>AppleTree Early Learning Center PCS</v>
      </c>
      <c r="B5" s="175">
        <v>53766</v>
      </c>
      <c r="C5" s="175">
        <v>246362</v>
      </c>
      <c r="D5" s="175">
        <v>1710881</v>
      </c>
      <c r="E5" s="175">
        <v>7100</v>
      </c>
      <c r="F5" s="175"/>
      <c r="G5" s="175"/>
      <c r="H5" s="175">
        <v>184238</v>
      </c>
      <c r="I5" s="175"/>
      <c r="J5" s="175">
        <v>219792</v>
      </c>
      <c r="K5" s="175">
        <v>19554</v>
      </c>
      <c r="L5" s="175"/>
      <c r="M5" s="175"/>
      <c r="N5" s="205">
        <f t="shared" ref="N5:N63" si="1">SUM(B5:M5)</f>
        <v>2441693</v>
      </c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205">
        <f t="shared" ref="Z5:Z63" si="2">SUM(P5:Y5)</f>
        <v>0</v>
      </c>
      <c r="AA5" s="175"/>
      <c r="AB5" s="207">
        <f t="shared" si="0"/>
        <v>2441693</v>
      </c>
      <c r="AC5" s="175"/>
      <c r="AD5" s="216">
        <f>SUM('FY14 Projections by grd (PCS)'!U3:U9)</f>
        <v>630</v>
      </c>
      <c r="AE5" s="169"/>
      <c r="AF5" s="203">
        <f t="shared" ref="AF5:AF62" si="3">AB5/AD5</f>
        <v>3875.7031746031748</v>
      </c>
    </row>
    <row r="6" spans="1:32">
      <c r="A6" s="283" t="str">
        <f>'FY14 vs. ceiling by LEA'!A10</f>
        <v>Arts and Technology PCS</v>
      </c>
      <c r="B6" s="205">
        <v>0</v>
      </c>
      <c r="C6" s="205">
        <v>0</v>
      </c>
      <c r="D6" s="205">
        <v>0</v>
      </c>
      <c r="E6" s="205">
        <v>0</v>
      </c>
      <c r="F6" s="205">
        <v>0</v>
      </c>
      <c r="G6" s="205">
        <v>0</v>
      </c>
      <c r="H6" s="205">
        <v>0</v>
      </c>
      <c r="I6" s="205">
        <v>0</v>
      </c>
      <c r="J6" s="205">
        <v>0</v>
      </c>
      <c r="K6" s="205">
        <v>0</v>
      </c>
      <c r="L6" s="205">
        <v>0</v>
      </c>
      <c r="M6" s="205">
        <v>0</v>
      </c>
      <c r="N6" s="205">
        <f t="shared" si="1"/>
        <v>0</v>
      </c>
      <c r="O6" s="205"/>
      <c r="P6" s="205">
        <v>170000</v>
      </c>
      <c r="Q6" s="205">
        <v>445000</v>
      </c>
      <c r="R6" s="205">
        <v>0</v>
      </c>
      <c r="S6" s="205">
        <v>29000</v>
      </c>
      <c r="T6" s="205">
        <v>800000</v>
      </c>
      <c r="U6" s="205">
        <v>275000</v>
      </c>
      <c r="V6" s="205">
        <v>230000</v>
      </c>
      <c r="W6" s="205">
        <v>10000</v>
      </c>
      <c r="X6" s="205">
        <v>100000</v>
      </c>
      <c r="Y6" s="205">
        <v>336000</v>
      </c>
      <c r="Z6" s="205">
        <f t="shared" si="2"/>
        <v>2395000</v>
      </c>
      <c r="AA6" s="205"/>
      <c r="AB6" s="205">
        <f t="shared" si="0"/>
        <v>2395000</v>
      </c>
      <c r="AC6" s="205"/>
      <c r="AD6" s="229">
        <f>'FY14 Projections by grd (PCS)'!U10</f>
        <v>640</v>
      </c>
      <c r="AE6" s="220"/>
      <c r="AF6" s="221">
        <f t="shared" si="3"/>
        <v>3742.1875</v>
      </c>
    </row>
    <row r="7" spans="1:32">
      <c r="A7" s="238" t="str">
        <f>'FY14 vs. ceiling by LEA'!A11</f>
        <v>Basis DC PCS</v>
      </c>
      <c r="B7" s="175">
        <v>96000</v>
      </c>
      <c r="C7" s="175">
        <v>90000</v>
      </c>
      <c r="D7" s="175">
        <v>1986250</v>
      </c>
      <c r="E7" s="175">
        <v>0</v>
      </c>
      <c r="F7" s="175">
        <v>0</v>
      </c>
      <c r="G7" s="175">
        <v>24000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205">
        <f t="shared" si="1"/>
        <v>2196250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205">
        <f t="shared" si="2"/>
        <v>0</v>
      </c>
      <c r="AA7" s="175"/>
      <c r="AB7" s="207">
        <f t="shared" si="0"/>
        <v>2196250</v>
      </c>
      <c r="AC7" s="175"/>
      <c r="AD7" s="216">
        <f>'FY14 Projections by grd (PCS)'!U11</f>
        <v>550</v>
      </c>
      <c r="AE7" s="169"/>
      <c r="AF7" s="203">
        <f t="shared" si="3"/>
        <v>3993.181818181818</v>
      </c>
    </row>
    <row r="8" spans="1:32">
      <c r="A8" s="283" t="str">
        <f>'FY14 vs. ceiling by LEA'!A12</f>
        <v>Booker T. Washington PCS</v>
      </c>
      <c r="B8" s="205">
        <v>85000</v>
      </c>
      <c r="C8" s="205">
        <v>27000</v>
      </c>
      <c r="D8" s="205">
        <v>1050000</v>
      </c>
      <c r="E8" s="205">
        <v>0</v>
      </c>
      <c r="F8" s="205">
        <v>120000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/>
      <c r="N8" s="205">
        <f t="shared" si="1"/>
        <v>1282000</v>
      </c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>
        <f t="shared" si="2"/>
        <v>0</v>
      </c>
      <c r="AA8" s="205"/>
      <c r="AB8" s="205">
        <f t="shared" si="0"/>
        <v>1282000</v>
      </c>
      <c r="AC8" s="205"/>
      <c r="AD8" s="229">
        <f>'FY14 Projections by grd (PCS)'!U12</f>
        <v>395</v>
      </c>
      <c r="AE8" s="220"/>
      <c r="AF8" s="221">
        <f t="shared" si="3"/>
        <v>3245.5696202531644</v>
      </c>
    </row>
    <row r="9" spans="1:32">
      <c r="A9" s="238" t="str">
        <f>'FY14 vs. ceiling by LEA'!A13</f>
        <v>Bridges PCS</v>
      </c>
      <c r="B9" s="175">
        <v>73472.97</v>
      </c>
      <c r="C9" s="175">
        <v>88363.64</v>
      </c>
      <c r="D9" s="175">
        <v>456434.28</v>
      </c>
      <c r="E9" s="175">
        <v>0</v>
      </c>
      <c r="F9" s="175">
        <v>0</v>
      </c>
      <c r="G9" s="175">
        <v>33231</v>
      </c>
      <c r="H9" s="175">
        <v>13251</v>
      </c>
      <c r="I9" s="175">
        <v>0</v>
      </c>
      <c r="J9" s="175">
        <v>0</v>
      </c>
      <c r="K9" s="175">
        <v>0</v>
      </c>
      <c r="L9" s="175">
        <v>20000</v>
      </c>
      <c r="M9" s="175">
        <v>0</v>
      </c>
      <c r="N9" s="205">
        <f t="shared" si="1"/>
        <v>684752.89</v>
      </c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205">
        <f t="shared" si="2"/>
        <v>0</v>
      </c>
      <c r="AA9" s="175"/>
      <c r="AB9" s="207">
        <f t="shared" si="0"/>
        <v>684752.89</v>
      </c>
      <c r="AC9" s="175"/>
      <c r="AD9" s="216">
        <f>'FY14 Projections by grd (PCS)'!U13</f>
        <v>216</v>
      </c>
      <c r="AE9" s="169"/>
      <c r="AF9" s="203">
        <f t="shared" si="3"/>
        <v>3170.1522685185187</v>
      </c>
    </row>
    <row r="10" spans="1:32">
      <c r="A10" s="283" t="str">
        <f>'FY14 vs. ceiling by LEA'!A14</f>
        <v>Capital City PCS</v>
      </c>
      <c r="B10" s="205">
        <v>519120</v>
      </c>
      <c r="C10" s="205">
        <v>631411</v>
      </c>
      <c r="D10" s="205">
        <v>840996</v>
      </c>
      <c r="E10" s="205">
        <v>0</v>
      </c>
      <c r="F10" s="205">
        <v>0</v>
      </c>
      <c r="G10" s="205">
        <v>21414</v>
      </c>
      <c r="H10" s="205">
        <v>1146277</v>
      </c>
      <c r="I10" s="205">
        <v>980942</v>
      </c>
      <c r="J10" s="205">
        <v>711202</v>
      </c>
      <c r="K10" s="205">
        <v>134348</v>
      </c>
      <c r="L10" s="205">
        <v>0</v>
      </c>
      <c r="M10" s="205">
        <v>0</v>
      </c>
      <c r="N10" s="205">
        <f t="shared" si="1"/>
        <v>4985710</v>
      </c>
      <c r="O10" s="205"/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  <c r="W10" s="205">
        <v>0</v>
      </c>
      <c r="X10" s="205"/>
      <c r="Y10" s="205"/>
      <c r="Z10" s="205">
        <f t="shared" si="2"/>
        <v>0</v>
      </c>
      <c r="AA10" s="205"/>
      <c r="AB10" s="205">
        <f t="shared" si="0"/>
        <v>4985710</v>
      </c>
      <c r="AC10" s="205"/>
      <c r="AD10" s="229">
        <f>SUM('FY14 Projections by grd (PCS)'!U14:U16)</f>
        <v>960</v>
      </c>
      <c r="AE10" s="220"/>
      <c r="AF10" s="221">
        <f t="shared" si="3"/>
        <v>5193.447916666667</v>
      </c>
    </row>
    <row r="11" spans="1:32">
      <c r="A11" s="238" t="str">
        <f>'FY14 vs. ceiling by LEA'!A17</f>
        <v>Carlos Rosario International PCS</v>
      </c>
      <c r="B11" s="175">
        <v>0</v>
      </c>
      <c r="C11" s="175">
        <v>0</v>
      </c>
      <c r="D11" s="175">
        <v>3508511</v>
      </c>
      <c r="E11" s="175">
        <v>0</v>
      </c>
      <c r="F11" s="175">
        <v>0</v>
      </c>
      <c r="G11" s="175">
        <v>0</v>
      </c>
      <c r="H11" s="175">
        <v>1000000</v>
      </c>
      <c r="I11" s="175">
        <v>0</v>
      </c>
      <c r="J11" s="175">
        <v>0</v>
      </c>
      <c r="K11" s="175">
        <v>0</v>
      </c>
      <c r="L11" s="175">
        <v>1500000</v>
      </c>
      <c r="M11" s="175">
        <v>2200000</v>
      </c>
      <c r="N11" s="205">
        <f t="shared" si="1"/>
        <v>8208511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205">
        <f t="shared" si="2"/>
        <v>0</v>
      </c>
      <c r="AA11" s="175"/>
      <c r="AB11" s="207">
        <f t="shared" si="0"/>
        <v>8208511</v>
      </c>
      <c r="AC11" s="175"/>
      <c r="AD11" s="216">
        <f>'FY14 Projections by grd (PCS)'!U17+'FY14 Projections by grd (PCS)'!U18</f>
        <v>1950</v>
      </c>
      <c r="AE11" s="169"/>
      <c r="AF11" s="203">
        <f t="shared" si="3"/>
        <v>4209.4928205128208</v>
      </c>
    </row>
    <row r="12" spans="1:32">
      <c r="A12" s="283" t="str">
        <f>'FY14 vs. ceiling by LEA'!A19</f>
        <v>Center City PCS</v>
      </c>
      <c r="B12" s="205">
        <v>432600</v>
      </c>
      <c r="C12" s="205">
        <v>854770</v>
      </c>
      <c r="D12" s="205">
        <v>2183600</v>
      </c>
      <c r="E12" s="205">
        <v>0</v>
      </c>
      <c r="F12" s="205">
        <v>0</v>
      </c>
      <c r="G12" s="205">
        <v>29870</v>
      </c>
      <c r="H12" s="205">
        <v>600000</v>
      </c>
      <c r="I12" s="205">
        <v>0</v>
      </c>
      <c r="J12" s="205">
        <v>0</v>
      </c>
      <c r="K12" s="205">
        <v>0</v>
      </c>
      <c r="L12" s="205">
        <v>435000</v>
      </c>
      <c r="M12" s="205"/>
      <c r="N12" s="205">
        <f t="shared" si="1"/>
        <v>4535840</v>
      </c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>
        <f t="shared" si="2"/>
        <v>0</v>
      </c>
      <c r="AA12" s="205"/>
      <c r="AB12" s="205">
        <f t="shared" si="0"/>
        <v>4535840</v>
      </c>
      <c r="AC12" s="205"/>
      <c r="AD12" s="229">
        <f>SUM('FY14 Projections by grd (PCS)'!U19:U24)</f>
        <v>1398</v>
      </c>
      <c r="AE12" s="220"/>
      <c r="AF12" s="221">
        <f t="shared" si="3"/>
        <v>3244.5207439198857</v>
      </c>
    </row>
    <row r="13" spans="1:32">
      <c r="A13" s="238" t="str">
        <f>'FY14 vs. ceiling by LEA'!A25</f>
        <v>Cesar Chavez PCS for Public Policy</v>
      </c>
      <c r="B13" s="175">
        <v>121919</v>
      </c>
      <c r="C13" s="175">
        <v>647532</v>
      </c>
      <c r="D13" s="175">
        <v>0</v>
      </c>
      <c r="E13" s="175">
        <v>242500</v>
      </c>
      <c r="F13" s="175">
        <v>0</v>
      </c>
      <c r="G13" s="175">
        <v>38102</v>
      </c>
      <c r="H13" s="175">
        <v>602308</v>
      </c>
      <c r="I13" s="175">
        <v>0</v>
      </c>
      <c r="J13" s="175">
        <v>0</v>
      </c>
      <c r="K13" s="175">
        <v>0</v>
      </c>
      <c r="L13" s="175">
        <v>100000</v>
      </c>
      <c r="M13" s="175">
        <v>0</v>
      </c>
      <c r="N13" s="205">
        <f t="shared" si="1"/>
        <v>1752361</v>
      </c>
      <c r="O13" s="175"/>
      <c r="P13" s="175">
        <v>265000</v>
      </c>
      <c r="Q13" s="175">
        <v>0</v>
      </c>
      <c r="R13" s="175"/>
      <c r="S13" s="175">
        <v>38102</v>
      </c>
      <c r="T13" s="175">
        <v>499000</v>
      </c>
      <c r="U13" s="175">
        <v>959143</v>
      </c>
      <c r="V13" s="175">
        <v>425000</v>
      </c>
      <c r="W13" s="175">
        <v>0</v>
      </c>
      <c r="X13" s="175">
        <v>20000</v>
      </c>
      <c r="Y13" s="175"/>
      <c r="Z13" s="205">
        <f t="shared" si="2"/>
        <v>2206245</v>
      </c>
      <c r="AA13" s="175"/>
      <c r="AB13" s="207">
        <f t="shared" si="0"/>
        <v>3958606</v>
      </c>
      <c r="AC13" s="175"/>
      <c r="AD13" s="216">
        <f>SUM('FY14 Projections by grd (PCS)'!U25:U28)</f>
        <v>1417</v>
      </c>
      <c r="AE13" s="169"/>
      <c r="AF13" s="203">
        <f t="shared" si="3"/>
        <v>2793.6527875793931</v>
      </c>
    </row>
    <row r="14" spans="1:32">
      <c r="A14" s="219" t="str">
        <f>'FY14 vs. ceiling by LEA'!A29</f>
        <v>Community Academy PCS</v>
      </c>
      <c r="B14" s="205">
        <v>347867</v>
      </c>
      <c r="C14" s="205">
        <v>332387</v>
      </c>
      <c r="D14" s="205">
        <v>793011</v>
      </c>
      <c r="E14" s="205">
        <v>0</v>
      </c>
      <c r="F14" s="205">
        <v>0</v>
      </c>
      <c r="G14" s="205">
        <v>15724</v>
      </c>
      <c r="H14" s="205">
        <v>753006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f t="shared" si="1"/>
        <v>2241995</v>
      </c>
      <c r="O14" s="205"/>
      <c r="P14" s="205">
        <v>321546</v>
      </c>
      <c r="Q14" s="205">
        <v>362768</v>
      </c>
      <c r="R14" s="205">
        <v>0</v>
      </c>
      <c r="S14" s="205">
        <v>8839</v>
      </c>
      <c r="T14" s="205">
        <v>871479</v>
      </c>
      <c r="U14" s="205">
        <v>1105112</v>
      </c>
      <c r="V14" s="205">
        <v>520000</v>
      </c>
      <c r="W14" s="205">
        <v>122343</v>
      </c>
      <c r="X14" s="205">
        <v>0</v>
      </c>
      <c r="Y14" s="205">
        <v>1000000</v>
      </c>
      <c r="Z14" s="205">
        <f t="shared" si="2"/>
        <v>4312087</v>
      </c>
      <c r="AA14" s="205"/>
      <c r="AB14" s="205">
        <f t="shared" si="0"/>
        <v>6554082</v>
      </c>
      <c r="AC14" s="205"/>
      <c r="AD14" s="229">
        <f>SUM('FY14 Projections by grd (PCS)'!U29:U33)</f>
        <v>1700</v>
      </c>
      <c r="AE14" s="220"/>
      <c r="AF14" s="221">
        <f t="shared" si="3"/>
        <v>3855.3423529411766</v>
      </c>
    </row>
    <row r="15" spans="1:32" s="194" customFormat="1">
      <c r="A15" s="238" t="str">
        <f>'FY14 vs. ceiling by LEA'!A34</f>
        <v xml:space="preserve">Community College Preparatory Academy 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205">
        <f t="shared" si="1"/>
        <v>0</v>
      </c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205">
        <f t="shared" si="2"/>
        <v>0</v>
      </c>
      <c r="AA15" s="175"/>
      <c r="AB15" s="207"/>
      <c r="AC15" s="175"/>
      <c r="AD15" s="216">
        <v>0</v>
      </c>
      <c r="AE15" s="169"/>
      <c r="AF15" s="279" t="s">
        <v>45</v>
      </c>
    </row>
    <row r="16" spans="1:32">
      <c r="A16" s="283" t="str">
        <f>'FY14 vs. ceiling by LEA'!A35</f>
        <v>Creative Minds International PCS</v>
      </c>
      <c r="B16" s="205">
        <v>31989</v>
      </c>
      <c r="C16" s="205">
        <v>57581</v>
      </c>
      <c r="D16" s="205">
        <v>320000</v>
      </c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35000</v>
      </c>
      <c r="M16" s="205">
        <v>0</v>
      </c>
      <c r="N16" s="205">
        <f t="shared" si="1"/>
        <v>444570</v>
      </c>
      <c r="O16" s="205"/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f t="shared" si="2"/>
        <v>0</v>
      </c>
      <c r="AA16" s="205"/>
      <c r="AB16" s="205">
        <f t="shared" si="0"/>
        <v>444570</v>
      </c>
      <c r="AC16" s="205"/>
      <c r="AD16" s="229">
        <f>'FY14 Projections by grd (PCS)'!U35</f>
        <v>136</v>
      </c>
      <c r="AE16" s="220"/>
      <c r="AF16" s="221">
        <f t="shared" si="3"/>
        <v>3268.8970588235293</v>
      </c>
    </row>
    <row r="17" spans="1:32">
      <c r="A17" s="238" t="str">
        <f>'FY14 vs. ceiling by LEA'!A36</f>
        <v>D.C. Bilingual PCS</v>
      </c>
      <c r="B17" s="175">
        <v>179330</v>
      </c>
      <c r="C17" s="175">
        <v>100730</v>
      </c>
      <c r="D17" s="175">
        <v>1010054</v>
      </c>
      <c r="E17" s="175">
        <v>0</v>
      </c>
      <c r="F17" s="175">
        <v>0</v>
      </c>
      <c r="G17" s="175">
        <v>32578</v>
      </c>
      <c r="H17" s="175">
        <v>110000</v>
      </c>
      <c r="I17" s="175"/>
      <c r="J17" s="175"/>
      <c r="K17" s="175"/>
      <c r="L17" s="175"/>
      <c r="M17" s="175"/>
      <c r="N17" s="205">
        <f t="shared" si="1"/>
        <v>1432692</v>
      </c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205">
        <f t="shared" si="2"/>
        <v>0</v>
      </c>
      <c r="AA17" s="175"/>
      <c r="AB17" s="207">
        <f t="shared" si="0"/>
        <v>1432692</v>
      </c>
      <c r="AC17" s="175"/>
      <c r="AD17" s="216">
        <f>'FY14 Projections by grd (PCS)'!U36</f>
        <v>380</v>
      </c>
      <c r="AE17" s="169"/>
      <c r="AF17" s="203">
        <f t="shared" si="3"/>
        <v>3770.242105263158</v>
      </c>
    </row>
    <row r="18" spans="1:32">
      <c r="A18" s="283" t="str">
        <f>'FY14 vs. ceiling by LEA'!A37</f>
        <v>D.C. Preparatory Academy PCS</v>
      </c>
      <c r="B18" s="205">
        <v>0</v>
      </c>
      <c r="C18" s="205">
        <v>2122</v>
      </c>
      <c r="D18" s="205">
        <v>1295523</v>
      </c>
      <c r="E18" s="205"/>
      <c r="F18" s="205"/>
      <c r="G18" s="205"/>
      <c r="H18" s="205">
        <v>40196</v>
      </c>
      <c r="I18" s="205"/>
      <c r="J18" s="205"/>
      <c r="K18" s="205"/>
      <c r="L18" s="205"/>
      <c r="M18" s="205"/>
      <c r="N18" s="205">
        <f t="shared" si="1"/>
        <v>1337841</v>
      </c>
      <c r="O18" s="205"/>
      <c r="P18" s="205">
        <v>206000</v>
      </c>
      <c r="Q18" s="205">
        <v>426726</v>
      </c>
      <c r="R18" s="205">
        <v>0</v>
      </c>
      <c r="S18" s="205">
        <v>20630</v>
      </c>
      <c r="T18" s="205">
        <v>461512</v>
      </c>
      <c r="U18" s="205">
        <v>197700</v>
      </c>
      <c r="V18" s="205">
        <v>420417</v>
      </c>
      <c r="W18" s="205">
        <v>231511</v>
      </c>
      <c r="X18" s="205">
        <v>0</v>
      </c>
      <c r="Y18" s="205">
        <v>0</v>
      </c>
      <c r="Z18" s="205">
        <f t="shared" si="2"/>
        <v>1964496</v>
      </c>
      <c r="AA18" s="205"/>
      <c r="AB18" s="205">
        <f t="shared" si="0"/>
        <v>3302337</v>
      </c>
      <c r="AC18" s="205"/>
      <c r="AD18" s="229">
        <f>SUM('FY14 Projections by grd (PCS)'!U37:U40)</f>
        <v>1175</v>
      </c>
      <c r="AE18" s="220"/>
      <c r="AF18" s="221">
        <f t="shared" si="3"/>
        <v>2810.499574468085</v>
      </c>
    </row>
    <row r="19" spans="1:32">
      <c r="A19" s="238" t="str">
        <f>'FY14 vs. ceiling by LEA'!A41</f>
        <v>DC Scholars PCS</v>
      </c>
      <c r="B19" s="175"/>
      <c r="C19" s="175">
        <v>80500</v>
      </c>
      <c r="D19" s="175">
        <v>464541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364000</v>
      </c>
      <c r="M19" s="175"/>
      <c r="N19" s="205">
        <f t="shared" si="1"/>
        <v>909041</v>
      </c>
      <c r="O19" s="175"/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205">
        <f t="shared" si="2"/>
        <v>0</v>
      </c>
      <c r="AA19" s="175"/>
      <c r="AB19" s="207">
        <f t="shared" si="0"/>
        <v>909041</v>
      </c>
      <c r="AC19" s="175"/>
      <c r="AD19" s="216">
        <f>'FY14 Projections by grd (PCS)'!U41</f>
        <v>250</v>
      </c>
      <c r="AE19" s="169"/>
      <c r="AF19" s="203">
        <f t="shared" si="3"/>
        <v>3636.1640000000002</v>
      </c>
    </row>
    <row r="20" spans="1:32">
      <c r="A20" s="283" t="str">
        <f>'FY14 vs. ceiling by LEA'!A42</f>
        <v>E L  Haynes PCS</v>
      </c>
      <c r="B20" s="205">
        <v>0</v>
      </c>
      <c r="C20" s="205">
        <v>0</v>
      </c>
      <c r="D20" s="205">
        <v>355894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f t="shared" si="1"/>
        <v>355894</v>
      </c>
      <c r="O20" s="205"/>
      <c r="P20" s="205">
        <v>523755</v>
      </c>
      <c r="Q20" s="205">
        <v>138920</v>
      </c>
      <c r="R20" s="205">
        <v>0</v>
      </c>
      <c r="S20" s="205">
        <v>0</v>
      </c>
      <c r="T20" s="205">
        <v>1022020</v>
      </c>
      <c r="U20" s="205">
        <v>2668782</v>
      </c>
      <c r="V20" s="205">
        <v>-653272</v>
      </c>
      <c r="W20" s="205">
        <v>0</v>
      </c>
      <c r="X20" s="205">
        <v>0</v>
      </c>
      <c r="Y20" s="205">
        <v>0</v>
      </c>
      <c r="Z20" s="205">
        <f t="shared" si="2"/>
        <v>3700205</v>
      </c>
      <c r="AA20" s="205"/>
      <c r="AB20" s="205">
        <f t="shared" si="0"/>
        <v>4056099</v>
      </c>
      <c r="AC20" s="205"/>
      <c r="AD20" s="229">
        <f>SUM('FY14 Projections by grd (PCS)'!U42:U43)</f>
        <v>1049</v>
      </c>
      <c r="AE20" s="220"/>
      <c r="AF20" s="221">
        <f t="shared" si="3"/>
        <v>3866.633937082936</v>
      </c>
    </row>
    <row r="21" spans="1:32">
      <c r="A21" s="238" t="str">
        <f>'FY14 vs. ceiling by LEA'!A49</f>
        <v>Elsie Whitlow Stokes Communtiy Freedom PCS</v>
      </c>
      <c r="B21" s="175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205">
        <f t="shared" si="1"/>
        <v>0</v>
      </c>
      <c r="O21" s="175"/>
      <c r="P21" s="175">
        <v>102000</v>
      </c>
      <c r="Q21" s="175">
        <v>251000</v>
      </c>
      <c r="R21" s="175">
        <v>0</v>
      </c>
      <c r="S21" s="175">
        <v>43000</v>
      </c>
      <c r="T21" s="175">
        <v>275000</v>
      </c>
      <c r="U21" s="175">
        <v>303057</v>
      </c>
      <c r="V21" s="175">
        <v>308969</v>
      </c>
      <c r="W21" s="175">
        <v>0</v>
      </c>
      <c r="X21" s="175">
        <v>0</v>
      </c>
      <c r="Y21" s="175">
        <v>0</v>
      </c>
      <c r="Z21" s="205">
        <f t="shared" si="2"/>
        <v>1283026</v>
      </c>
      <c r="AA21" s="175"/>
      <c r="AB21" s="207">
        <f t="shared" si="0"/>
        <v>1283026</v>
      </c>
      <c r="AC21" s="175"/>
      <c r="AD21" s="216">
        <f>'FY14 Projections by grd (PCS)'!U49</f>
        <v>350</v>
      </c>
      <c r="AE21" s="169"/>
      <c r="AF21" s="203">
        <f t="shared" si="3"/>
        <v>3665.7885714285712</v>
      </c>
    </row>
    <row r="22" spans="1:32">
      <c r="A22" s="283" t="str">
        <f>'FY14 vs. ceiling by LEA'!A44</f>
        <v>Eagle Academy PCS</v>
      </c>
      <c r="B22" s="205">
        <v>381274</v>
      </c>
      <c r="C22" s="205">
        <v>4000</v>
      </c>
      <c r="D22" s="205">
        <v>205224</v>
      </c>
      <c r="E22" s="205">
        <v>39160</v>
      </c>
      <c r="F22" s="205">
        <v>177090</v>
      </c>
      <c r="G22" s="205">
        <v>41501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f t="shared" si="1"/>
        <v>848249</v>
      </c>
      <c r="O22" s="205"/>
      <c r="P22" s="205">
        <v>21891</v>
      </c>
      <c r="Q22" s="205">
        <v>16500</v>
      </c>
      <c r="R22" s="205">
        <v>0</v>
      </c>
      <c r="S22" s="205">
        <v>0</v>
      </c>
      <c r="T22" s="205">
        <v>650000</v>
      </c>
      <c r="U22" s="205">
        <v>451388</v>
      </c>
      <c r="V22" s="205">
        <v>967278</v>
      </c>
      <c r="W22" s="205">
        <v>0</v>
      </c>
      <c r="X22" s="205">
        <v>0</v>
      </c>
      <c r="Y22" s="205"/>
      <c r="Z22" s="205">
        <f t="shared" si="2"/>
        <v>2107057</v>
      </c>
      <c r="AA22" s="205"/>
      <c r="AB22" s="205">
        <f t="shared" si="0"/>
        <v>2955306</v>
      </c>
      <c r="AC22" s="205"/>
      <c r="AD22" s="229">
        <f>SUM('FY14 Projections by grd (PCS)'!U44:U45)</f>
        <v>839</v>
      </c>
      <c r="AE22" s="220"/>
      <c r="AF22" s="221">
        <f t="shared" si="3"/>
        <v>3522.4147794994042</v>
      </c>
    </row>
    <row r="23" spans="1:32">
      <c r="A23" s="238" t="str">
        <f>'FY14 vs. ceiling by LEA'!A46</f>
        <v>Early Childhood Academy PCS</v>
      </c>
      <c r="B23" s="175">
        <v>44562</v>
      </c>
      <c r="C23" s="175">
        <v>112006</v>
      </c>
      <c r="D23" s="175">
        <v>376106</v>
      </c>
      <c r="E23" s="175">
        <v>0</v>
      </c>
      <c r="F23" s="175">
        <v>0</v>
      </c>
      <c r="G23" s="175">
        <v>0</v>
      </c>
      <c r="H23" s="175">
        <v>19600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205">
        <f t="shared" si="1"/>
        <v>552274</v>
      </c>
      <c r="O23" s="175"/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205">
        <f t="shared" si="2"/>
        <v>0</v>
      </c>
      <c r="AA23" s="175"/>
      <c r="AB23" s="207">
        <f t="shared" si="0"/>
        <v>552274</v>
      </c>
      <c r="AC23" s="175"/>
      <c r="AD23" s="216">
        <f>'FY14 Projections by grd (PCS)'!U46+'FY14 Projections by grd (PCS)'!U47</f>
        <v>249</v>
      </c>
      <c r="AE23" s="169"/>
      <c r="AF23" s="203">
        <f t="shared" si="3"/>
        <v>2217.9678714859438</v>
      </c>
    </row>
    <row r="24" spans="1:32">
      <c r="A24" s="219" t="str">
        <f>'FY14 vs. ceiling by LEA'!A48</f>
        <v>Education Strengthens Families PCS</v>
      </c>
      <c r="B24" s="205">
        <v>0</v>
      </c>
      <c r="C24" s="205">
        <v>18093</v>
      </c>
      <c r="D24" s="205">
        <v>246223</v>
      </c>
      <c r="E24" s="205"/>
      <c r="F24" s="205">
        <v>0</v>
      </c>
      <c r="G24" s="205">
        <v>7120</v>
      </c>
      <c r="H24" s="205">
        <v>143936</v>
      </c>
      <c r="I24" s="205">
        <v>82674</v>
      </c>
      <c r="J24" s="205">
        <v>17091</v>
      </c>
      <c r="K24" s="205">
        <v>0</v>
      </c>
      <c r="L24" s="205">
        <v>0</v>
      </c>
      <c r="M24" s="205">
        <v>0</v>
      </c>
      <c r="N24" s="205">
        <f t="shared" si="1"/>
        <v>515137</v>
      </c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>
        <f t="shared" si="2"/>
        <v>0</v>
      </c>
      <c r="AA24" s="205"/>
      <c r="AB24" s="205">
        <f t="shared" si="0"/>
        <v>515137</v>
      </c>
      <c r="AC24" s="205"/>
      <c r="AD24" s="229">
        <f>'FY14 Projections by grd (PCS)'!U48</f>
        <v>461</v>
      </c>
      <c r="AE24" s="220"/>
      <c r="AF24" s="221">
        <f t="shared" si="3"/>
        <v>1117.4338394793926</v>
      </c>
    </row>
    <row r="25" spans="1:32">
      <c r="A25" s="238" t="str">
        <f>'FY14 vs. ceiling by LEA'!A50</f>
        <v>Excel Academy PCS</v>
      </c>
      <c r="B25" s="175">
        <v>0</v>
      </c>
      <c r="C25" s="175">
        <v>8226</v>
      </c>
      <c r="D25" s="175">
        <v>1495103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205">
        <f t="shared" si="1"/>
        <v>1503329</v>
      </c>
      <c r="O25" s="175"/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205">
        <f t="shared" si="2"/>
        <v>0</v>
      </c>
      <c r="AA25" s="175"/>
      <c r="AB25" s="207">
        <f t="shared" si="0"/>
        <v>1503329</v>
      </c>
      <c r="AC25" s="175"/>
      <c r="AD25" s="216">
        <f>'FY14 Projections by grd (PCS)'!U50</f>
        <v>650</v>
      </c>
      <c r="AE25" s="169"/>
      <c r="AF25" s="203">
        <f t="shared" si="3"/>
        <v>2312.813846153846</v>
      </c>
    </row>
    <row r="26" spans="1:32">
      <c r="A26" s="283" t="str">
        <f>'FY14 vs. ceiling by LEA'!A51</f>
        <v>Friendship PCS</v>
      </c>
      <c r="B26" s="205">
        <v>0</v>
      </c>
      <c r="C26" s="205">
        <v>0</v>
      </c>
      <c r="D26" s="205">
        <v>0</v>
      </c>
      <c r="E26" s="205"/>
      <c r="F26" s="205"/>
      <c r="G26" s="205"/>
      <c r="H26" s="205">
        <v>0</v>
      </c>
      <c r="I26" s="205">
        <v>0</v>
      </c>
      <c r="J26" s="205"/>
      <c r="K26" s="205"/>
      <c r="L26" s="205">
        <v>0</v>
      </c>
      <c r="M26" s="205"/>
      <c r="N26" s="205">
        <f t="shared" si="1"/>
        <v>0</v>
      </c>
      <c r="O26" s="205"/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f t="shared" si="2"/>
        <v>0</v>
      </c>
      <c r="AA26" s="205"/>
      <c r="AB26" s="205">
        <f t="shared" si="0"/>
        <v>0</v>
      </c>
      <c r="AC26" s="205"/>
      <c r="AD26" s="229">
        <v>0</v>
      </c>
      <c r="AE26" s="220"/>
      <c r="AF26" s="280" t="s">
        <v>45</v>
      </c>
    </row>
    <row r="27" spans="1:32">
      <c r="A27" s="238" t="str">
        <f>'FY14 vs. ceiling by LEA'!A57</f>
        <v>Hope Community Academy PCS</v>
      </c>
      <c r="B27" s="175">
        <v>194250</v>
      </c>
      <c r="C27" s="175">
        <v>120750</v>
      </c>
      <c r="D27" s="175">
        <v>2858377</v>
      </c>
      <c r="E27" s="175"/>
      <c r="F27" s="175"/>
      <c r="G27" s="175">
        <v>30000</v>
      </c>
      <c r="H27" s="175">
        <v>85000</v>
      </c>
      <c r="I27" s="175"/>
      <c r="J27" s="175"/>
      <c r="K27" s="175"/>
      <c r="L27" s="175"/>
      <c r="M27" s="175"/>
      <c r="N27" s="205">
        <f t="shared" si="1"/>
        <v>3288377</v>
      </c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205">
        <f t="shared" si="2"/>
        <v>0</v>
      </c>
      <c r="AA27" s="175"/>
      <c r="AB27" s="207">
        <f t="shared" si="0"/>
        <v>3288377</v>
      </c>
      <c r="AC27" s="175"/>
      <c r="AD27" s="216">
        <f>SUM('FY14 Projections by grd (PCS)'!U57:U58)</f>
        <v>850</v>
      </c>
      <c r="AE27" s="169"/>
      <c r="AF27" s="203">
        <f t="shared" si="3"/>
        <v>3868.6788235294116</v>
      </c>
    </row>
    <row r="28" spans="1:32">
      <c r="A28" s="283" t="str">
        <f>'FY14 vs. ceiling by LEA'!A59</f>
        <v>Hospitality PCS</v>
      </c>
      <c r="B28" s="205">
        <v>0</v>
      </c>
      <c r="C28" s="205">
        <v>0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  <c r="I28" s="205">
        <v>0</v>
      </c>
      <c r="J28" s="205">
        <v>0</v>
      </c>
      <c r="K28" s="205">
        <v>0</v>
      </c>
      <c r="L28" s="205">
        <v>0</v>
      </c>
      <c r="M28" s="205"/>
      <c r="N28" s="205">
        <f t="shared" si="1"/>
        <v>0</v>
      </c>
      <c r="O28" s="205"/>
      <c r="P28" s="205">
        <v>80000</v>
      </c>
      <c r="Q28" s="205">
        <v>150000</v>
      </c>
      <c r="R28" s="205">
        <v>0</v>
      </c>
      <c r="S28" s="205">
        <v>50000</v>
      </c>
      <c r="T28" s="205">
        <v>300000</v>
      </c>
      <c r="U28" s="205">
        <v>354076</v>
      </c>
      <c r="V28" s="205">
        <v>333461</v>
      </c>
      <c r="W28" s="205">
        <v>0</v>
      </c>
      <c r="X28" s="205">
        <v>50000</v>
      </c>
      <c r="Y28" s="205">
        <v>100800</v>
      </c>
      <c r="Z28" s="205">
        <f t="shared" si="2"/>
        <v>1418337</v>
      </c>
      <c r="AA28" s="205"/>
      <c r="AB28" s="205">
        <f t="shared" si="0"/>
        <v>1418337</v>
      </c>
      <c r="AC28" s="205"/>
      <c r="AD28" s="229">
        <f>'FY14 Projections by grd (PCS)'!U59</f>
        <v>225</v>
      </c>
      <c r="AE28" s="220"/>
      <c r="AF28" s="221">
        <f t="shared" si="3"/>
        <v>6303.72</v>
      </c>
    </row>
    <row r="29" spans="1:32">
      <c r="A29" s="238" t="str">
        <f>'FY14 vs. ceiling by LEA'!A60</f>
        <v>Howard Road Academy PCS</v>
      </c>
      <c r="B29" s="175">
        <v>54580</v>
      </c>
      <c r="C29" s="175">
        <v>114887</v>
      </c>
      <c r="D29" s="175">
        <v>281016</v>
      </c>
      <c r="E29" s="175">
        <v>0</v>
      </c>
      <c r="F29" s="175">
        <v>0</v>
      </c>
      <c r="G29" s="175">
        <v>10914</v>
      </c>
      <c r="H29" s="175">
        <v>0</v>
      </c>
      <c r="I29" s="175">
        <v>0</v>
      </c>
      <c r="J29" s="175">
        <v>0</v>
      </c>
      <c r="K29" s="175">
        <v>0</v>
      </c>
      <c r="L29" s="175">
        <v>19522</v>
      </c>
      <c r="M29" s="175"/>
      <c r="N29" s="205">
        <f t="shared" si="1"/>
        <v>480919</v>
      </c>
      <c r="O29" s="175"/>
      <c r="P29" s="175">
        <v>171608</v>
      </c>
      <c r="Q29" s="175">
        <v>402173</v>
      </c>
      <c r="R29" s="175">
        <v>0</v>
      </c>
      <c r="S29" s="175">
        <v>38526</v>
      </c>
      <c r="T29" s="175">
        <v>204970</v>
      </c>
      <c r="U29" s="175">
        <v>192396</v>
      </c>
      <c r="V29" s="175">
        <v>517611</v>
      </c>
      <c r="W29" s="175">
        <v>32960</v>
      </c>
      <c r="X29" s="175">
        <v>93504</v>
      </c>
      <c r="Y29" s="175">
        <v>355003.78</v>
      </c>
      <c r="Z29" s="205">
        <f t="shared" si="2"/>
        <v>2008751.78</v>
      </c>
      <c r="AA29" s="175"/>
      <c r="AB29" s="207">
        <f t="shared" si="0"/>
        <v>2489670.7800000003</v>
      </c>
      <c r="AC29" s="175"/>
      <c r="AD29" s="216">
        <f>SUM('FY14 Projections by grd (PCS)'!U60:U62)</f>
        <v>225</v>
      </c>
      <c r="AE29" s="169"/>
      <c r="AF29" s="203">
        <f t="shared" si="3"/>
        <v>11065.203466666668</v>
      </c>
    </row>
    <row r="30" spans="1:32" ht="24">
      <c r="A30" s="283" t="str">
        <f>'FY14 vs. ceiling by LEA'!A63</f>
        <v>Howard University Middle School of Math and Science PCS</v>
      </c>
      <c r="B30" s="205">
        <v>55000</v>
      </c>
      <c r="C30" s="205">
        <v>25000</v>
      </c>
      <c r="D30" s="205">
        <v>1009000</v>
      </c>
      <c r="E30" s="205">
        <v>0</v>
      </c>
      <c r="F30" s="205">
        <v>0</v>
      </c>
      <c r="G30" s="205">
        <v>0</v>
      </c>
      <c r="H30" s="205">
        <v>3000</v>
      </c>
      <c r="I30" s="205">
        <v>0</v>
      </c>
      <c r="J30" s="205">
        <v>0</v>
      </c>
      <c r="K30" s="205"/>
      <c r="L30" s="205">
        <v>15000</v>
      </c>
      <c r="M30" s="205">
        <v>0</v>
      </c>
      <c r="N30" s="205">
        <f t="shared" si="1"/>
        <v>1107000</v>
      </c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>
        <f t="shared" si="2"/>
        <v>0</v>
      </c>
      <c r="AA30" s="205"/>
      <c r="AB30" s="205">
        <f t="shared" si="0"/>
        <v>1107000</v>
      </c>
      <c r="AC30" s="205"/>
      <c r="AD30" s="229">
        <f>'FY14 Projections by grd (PCS)'!U63</f>
        <v>320</v>
      </c>
      <c r="AE30" s="220"/>
      <c r="AF30" s="221">
        <f t="shared" si="3"/>
        <v>3459.375</v>
      </c>
    </row>
    <row r="31" spans="1:32">
      <c r="A31" s="238" t="str">
        <f>'FY14 vs. ceiling by LEA'!A68</f>
        <v>Integrated Design Electronics Academy (IDEA) PCS</v>
      </c>
      <c r="B31" s="175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205">
        <f t="shared" si="1"/>
        <v>0</v>
      </c>
      <c r="O31" s="175"/>
      <c r="P31" s="175">
        <v>220946</v>
      </c>
      <c r="Q31" s="175">
        <v>341679</v>
      </c>
      <c r="R31" s="175">
        <v>0</v>
      </c>
      <c r="S31" s="175">
        <v>0</v>
      </c>
      <c r="T31" s="175">
        <v>415293</v>
      </c>
      <c r="U31" s="175">
        <v>506330</v>
      </c>
      <c r="V31" s="175">
        <v>139651</v>
      </c>
      <c r="W31" s="175">
        <v>0</v>
      </c>
      <c r="X31" s="175">
        <v>10000</v>
      </c>
      <c r="Y31" s="175">
        <v>0</v>
      </c>
      <c r="Z31" s="205">
        <f t="shared" si="2"/>
        <v>1633899</v>
      </c>
      <c r="AA31" s="175"/>
      <c r="AB31" s="207">
        <f t="shared" si="0"/>
        <v>1633899</v>
      </c>
      <c r="AC31" s="175"/>
      <c r="AD31" s="216">
        <f>'FY14 Projections by grd (PCS)'!U64</f>
        <v>256</v>
      </c>
      <c r="AE31" s="169"/>
      <c r="AF31" s="203">
        <f t="shared" si="3"/>
        <v>6382.41796875</v>
      </c>
    </row>
    <row r="32" spans="1:32">
      <c r="A32" s="283" t="str">
        <f>'FY14 vs. ceiling by LEA'!A64</f>
        <v>Ideal Academy PCS</v>
      </c>
      <c r="B32" s="205">
        <v>0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>
        <f t="shared" si="1"/>
        <v>0</v>
      </c>
      <c r="O32" s="205"/>
      <c r="P32" s="205"/>
      <c r="Q32" s="205" t="s">
        <v>146</v>
      </c>
      <c r="R32" s="205">
        <v>0</v>
      </c>
      <c r="S32" s="205"/>
      <c r="T32" s="205"/>
      <c r="U32" s="205"/>
      <c r="V32" s="205"/>
      <c r="W32" s="205"/>
      <c r="X32" s="205"/>
      <c r="Y32" s="205"/>
      <c r="Z32" s="205">
        <f t="shared" si="2"/>
        <v>0</v>
      </c>
      <c r="AA32" s="205"/>
      <c r="AB32" s="205">
        <f t="shared" si="0"/>
        <v>0</v>
      </c>
      <c r="AC32" s="205"/>
      <c r="AD32" s="229">
        <v>0</v>
      </c>
      <c r="AE32" s="220"/>
      <c r="AF32" s="280" t="s">
        <v>45</v>
      </c>
    </row>
    <row r="33" spans="1:32">
      <c r="A33" s="238" t="str">
        <f>'FY14 vs. ceiling by LEA'!A65</f>
        <v>Imagine Southeast PCS</v>
      </c>
      <c r="B33" s="175">
        <v>158000</v>
      </c>
      <c r="C33" s="175">
        <v>100000</v>
      </c>
      <c r="D33" s="175">
        <v>1301357</v>
      </c>
      <c r="E33" s="175">
        <v>0</v>
      </c>
      <c r="F33" s="175">
        <v>0</v>
      </c>
      <c r="G33" s="175">
        <v>35000</v>
      </c>
      <c r="H33" s="175">
        <v>0</v>
      </c>
      <c r="I33" s="175">
        <v>0</v>
      </c>
      <c r="J33" s="175">
        <v>0</v>
      </c>
      <c r="K33" s="175">
        <v>0</v>
      </c>
      <c r="L33" s="175">
        <v>50000</v>
      </c>
      <c r="M33" s="175"/>
      <c r="N33" s="205">
        <f t="shared" si="1"/>
        <v>1644357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205">
        <f t="shared" si="2"/>
        <v>0</v>
      </c>
      <c r="AA33" s="175"/>
      <c r="AB33" s="207">
        <f t="shared" si="0"/>
        <v>1644357</v>
      </c>
      <c r="AC33" s="175"/>
      <c r="AD33" s="216">
        <f>'FY14 Projections by grd (PCS)'!U66</f>
        <v>527</v>
      </c>
      <c r="AE33" s="169"/>
      <c r="AF33" s="203">
        <f t="shared" si="3"/>
        <v>3120.222011385199</v>
      </c>
    </row>
    <row r="34" spans="1:32" s="194" customFormat="1">
      <c r="A34" s="219" t="str">
        <f>'FY14 vs. ceiling by LEA'!A66</f>
        <v>Ingenuity Prep PCS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>
        <f t="shared" si="1"/>
        <v>0</v>
      </c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>
        <f t="shared" si="2"/>
        <v>0</v>
      </c>
      <c r="AA34" s="205"/>
      <c r="AB34" s="205"/>
      <c r="AC34" s="205"/>
      <c r="AD34" s="229">
        <v>0</v>
      </c>
      <c r="AE34" s="220"/>
      <c r="AF34" s="280" t="s">
        <v>45</v>
      </c>
    </row>
    <row r="35" spans="1:32">
      <c r="A35" s="238" t="str">
        <f>'FY14 vs. ceiling by LEA'!A67</f>
        <v>Inspired Teaching Demonstration PCS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205">
        <f t="shared" si="1"/>
        <v>0</v>
      </c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205">
        <f t="shared" si="2"/>
        <v>0</v>
      </c>
      <c r="AA35" s="175"/>
      <c r="AB35" s="207">
        <f t="shared" si="0"/>
        <v>0</v>
      </c>
      <c r="AC35" s="175"/>
      <c r="AD35" s="216">
        <v>0</v>
      </c>
      <c r="AE35" s="169"/>
      <c r="AF35" s="279" t="s">
        <v>45</v>
      </c>
    </row>
    <row r="36" spans="1:32">
      <c r="A36" s="283" t="str">
        <f>'FY14 vs. ceiling by LEA'!A69</f>
        <v>KIPP DC PCS</v>
      </c>
      <c r="B36" s="205">
        <v>842170</v>
      </c>
      <c r="C36" s="205">
        <v>434273</v>
      </c>
      <c r="D36" s="205">
        <v>721753</v>
      </c>
      <c r="E36" s="205">
        <v>0</v>
      </c>
      <c r="F36" s="205">
        <v>0</v>
      </c>
      <c r="G36" s="205">
        <v>71612</v>
      </c>
      <c r="H36" s="205">
        <v>1987436</v>
      </c>
      <c r="I36" s="205">
        <v>2838771</v>
      </c>
      <c r="J36" s="205">
        <v>298373</v>
      </c>
      <c r="K36" s="205">
        <v>93375</v>
      </c>
      <c r="L36" s="205">
        <v>530000</v>
      </c>
      <c r="M36" s="205">
        <v>0</v>
      </c>
      <c r="N36" s="205">
        <f t="shared" si="1"/>
        <v>7817763</v>
      </c>
      <c r="O36" s="205"/>
      <c r="P36" s="205">
        <v>256032</v>
      </c>
      <c r="Q36" s="205">
        <v>107131</v>
      </c>
      <c r="R36" s="205">
        <v>15000</v>
      </c>
      <c r="S36" s="205">
        <v>15000</v>
      </c>
      <c r="T36" s="205">
        <v>18387</v>
      </c>
      <c r="U36" s="205">
        <v>836289</v>
      </c>
      <c r="V36" s="205">
        <v>357679</v>
      </c>
      <c r="W36" s="205">
        <v>27648</v>
      </c>
      <c r="X36" s="205">
        <v>175000</v>
      </c>
      <c r="Y36" s="205">
        <v>0</v>
      </c>
      <c r="Z36" s="205">
        <f t="shared" si="2"/>
        <v>1808166</v>
      </c>
      <c r="AA36" s="205"/>
      <c r="AB36" s="205">
        <f t="shared" si="0"/>
        <v>9625929</v>
      </c>
      <c r="AC36" s="205"/>
      <c r="AD36" s="229">
        <f>SUM('FY14 Projections by grd (PCS)'!U69:U80)</f>
        <v>3541</v>
      </c>
      <c r="AE36" s="220"/>
      <c r="AF36" s="221">
        <f t="shared" si="3"/>
        <v>2718.4210674950577</v>
      </c>
    </row>
    <row r="37" spans="1:32" ht="16" customHeight="1">
      <c r="A37" s="238" t="str">
        <f>'FY14 vs. ceiling by LEA'!A82</f>
        <v>Latin American Montessori Bilingual (LAMB) PCS</v>
      </c>
      <c r="B37" s="175">
        <v>0</v>
      </c>
      <c r="C37" s="175">
        <v>0</v>
      </c>
      <c r="D37" s="175">
        <v>369000</v>
      </c>
      <c r="E37" s="175">
        <v>0</v>
      </c>
      <c r="F37" s="175">
        <v>0</v>
      </c>
      <c r="G37" s="175"/>
      <c r="H37" s="175">
        <v>0</v>
      </c>
      <c r="I37" s="175">
        <v>0</v>
      </c>
      <c r="J37" s="175">
        <v>0</v>
      </c>
      <c r="K37" s="175">
        <v>0</v>
      </c>
      <c r="L37" s="175"/>
      <c r="M37" s="175"/>
      <c r="N37" s="205">
        <f t="shared" si="1"/>
        <v>369000</v>
      </c>
      <c r="O37" s="175"/>
      <c r="P37" s="175">
        <v>65000</v>
      </c>
      <c r="Q37" s="175">
        <v>145000</v>
      </c>
      <c r="R37" s="175"/>
      <c r="S37" s="175">
        <v>15500</v>
      </c>
      <c r="T37" s="175">
        <v>245000</v>
      </c>
      <c r="U37" s="175">
        <v>252338</v>
      </c>
      <c r="V37" s="175">
        <v>137713</v>
      </c>
      <c r="W37" s="175">
        <v>13297</v>
      </c>
      <c r="X37" s="175">
        <v>0</v>
      </c>
      <c r="Y37" s="175">
        <v>0</v>
      </c>
      <c r="Z37" s="205">
        <f t="shared" si="2"/>
        <v>873848</v>
      </c>
      <c r="AA37" s="175"/>
      <c r="AB37" s="207">
        <f t="shared" si="0"/>
        <v>1242848</v>
      </c>
      <c r="AC37" s="175"/>
      <c r="AD37" s="216">
        <f>'FY14 Projections by grd (PCS)'!U82+'FY14 Projections by grd (PCS)'!U83</f>
        <v>314</v>
      </c>
      <c r="AE37" s="169"/>
      <c r="AF37" s="203">
        <f t="shared" si="3"/>
        <v>3958.1146496815286</v>
      </c>
    </row>
    <row r="38" spans="1:32" ht="13" customHeight="1">
      <c r="A38" s="283" t="str">
        <f>'FY14 vs. ceiling by LEA'!A81</f>
        <v>Latin America Youth Center (LAYC) Career Academy PCS</v>
      </c>
      <c r="B38" s="205">
        <v>0</v>
      </c>
      <c r="C38" s="205">
        <v>0</v>
      </c>
      <c r="D38" s="205">
        <v>450000</v>
      </c>
      <c r="E38" s="205">
        <v>0</v>
      </c>
      <c r="F38" s="205">
        <v>0</v>
      </c>
      <c r="G38" s="205"/>
      <c r="H38" s="205">
        <v>0</v>
      </c>
      <c r="I38" s="205">
        <v>0</v>
      </c>
      <c r="J38" s="205">
        <v>0</v>
      </c>
      <c r="K38" s="205">
        <v>0</v>
      </c>
      <c r="L38" s="205"/>
      <c r="M38" s="205"/>
      <c r="N38" s="205">
        <f t="shared" si="1"/>
        <v>450000</v>
      </c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>
        <f t="shared" si="2"/>
        <v>0</v>
      </c>
      <c r="AA38" s="205"/>
      <c r="AB38" s="205">
        <f t="shared" si="0"/>
        <v>450000</v>
      </c>
      <c r="AC38" s="205"/>
      <c r="AD38" s="229">
        <f>'FY14 Projections by grd (PCS)'!U81</f>
        <v>150</v>
      </c>
      <c r="AE38" s="220"/>
      <c r="AF38" s="221">
        <f t="shared" si="3"/>
        <v>3000</v>
      </c>
    </row>
    <row r="39" spans="1:32">
      <c r="A39" s="238" t="str">
        <f>'FY14 vs. ceiling by LEA'!A84</f>
        <v>Mary McLeod Bethune Day Academy PCS</v>
      </c>
      <c r="B39" s="175">
        <v>180000</v>
      </c>
      <c r="C39" s="175">
        <v>330000</v>
      </c>
      <c r="D39" s="175">
        <v>240000</v>
      </c>
      <c r="E39" s="175">
        <v>0</v>
      </c>
      <c r="F39" s="175">
        <v>0</v>
      </c>
      <c r="G39" s="175">
        <v>0</v>
      </c>
      <c r="H39" s="175">
        <v>20000</v>
      </c>
      <c r="I39" s="175"/>
      <c r="J39" s="175"/>
      <c r="K39" s="175"/>
      <c r="L39" s="175">
        <v>500000</v>
      </c>
      <c r="M39" s="175"/>
      <c r="N39" s="205">
        <f t="shared" si="1"/>
        <v>1270000</v>
      </c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205">
        <f t="shared" si="2"/>
        <v>0</v>
      </c>
      <c r="AA39" s="175"/>
      <c r="AB39" s="207">
        <f t="shared" si="0"/>
        <v>1270000</v>
      </c>
      <c r="AC39" s="175"/>
      <c r="AD39" s="216">
        <f>'FY14 Projections by grd (PCS)'!U84</f>
        <v>344</v>
      </c>
      <c r="AE39" s="169"/>
      <c r="AF39" s="203">
        <f t="shared" si="3"/>
        <v>3691.8604651162791</v>
      </c>
    </row>
    <row r="40" spans="1:32">
      <c r="A40" s="283" t="str">
        <f>'FY14 vs. ceiling by LEA'!A85</f>
        <v>Maya Angelou PCS</v>
      </c>
      <c r="B40" s="205">
        <v>1277445</v>
      </c>
      <c r="C40" s="205">
        <v>50000</v>
      </c>
      <c r="D40" s="205">
        <v>325000</v>
      </c>
      <c r="E40" s="205">
        <v>0</v>
      </c>
      <c r="F40" s="205">
        <v>0</v>
      </c>
      <c r="G40" s="205">
        <v>0</v>
      </c>
      <c r="H40" s="205">
        <v>30000</v>
      </c>
      <c r="I40" s="205"/>
      <c r="J40" s="205"/>
      <c r="K40" s="205"/>
      <c r="L40" s="205"/>
      <c r="M40" s="205"/>
      <c r="N40" s="205">
        <f t="shared" si="1"/>
        <v>1682445</v>
      </c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>
        <f t="shared" si="2"/>
        <v>0</v>
      </c>
      <c r="AA40" s="205"/>
      <c r="AB40" s="205">
        <f t="shared" si="0"/>
        <v>1682445</v>
      </c>
      <c r="AC40" s="205"/>
      <c r="AD40" s="229">
        <f>SUM('FY14 Projections by grd (PCS)'!U85:U87)</f>
        <v>665</v>
      </c>
      <c r="AE40" s="220"/>
      <c r="AF40" s="221">
        <f t="shared" si="3"/>
        <v>2529.9924812030076</v>
      </c>
    </row>
    <row r="41" spans="1:32">
      <c r="A41" s="238" t="str">
        <f>'FY14 vs. ceiling by LEA'!A88</f>
        <v>Meridian PCS</v>
      </c>
      <c r="B41" s="175">
        <v>0</v>
      </c>
      <c r="C41" s="175">
        <v>0</v>
      </c>
      <c r="D41" s="175">
        <v>0</v>
      </c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205">
        <f t="shared" si="1"/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205">
        <f t="shared" si="2"/>
        <v>0</v>
      </c>
      <c r="AA41" s="175">
        <v>0</v>
      </c>
      <c r="AB41" s="207">
        <f>N41+Z41</f>
        <v>0</v>
      </c>
      <c r="AC41" s="175"/>
      <c r="AD41" s="216">
        <v>0</v>
      </c>
      <c r="AE41" s="169"/>
      <c r="AF41" s="279" t="s">
        <v>45</v>
      </c>
    </row>
    <row r="42" spans="1:32">
      <c r="A42" s="283" t="str">
        <f>'FY14 vs. ceiling by LEA'!A89</f>
        <v>Mundo Verde Bilingual PCS</v>
      </c>
      <c r="B42" s="205">
        <v>51500</v>
      </c>
      <c r="C42" s="205">
        <v>41200</v>
      </c>
      <c r="D42" s="205">
        <v>644892</v>
      </c>
      <c r="E42" s="205">
        <v>0</v>
      </c>
      <c r="F42" s="205">
        <v>0</v>
      </c>
      <c r="G42" s="205">
        <v>0</v>
      </c>
      <c r="H42" s="205">
        <v>112500</v>
      </c>
      <c r="I42" s="205"/>
      <c r="J42" s="205"/>
      <c r="K42" s="205"/>
      <c r="L42" s="205">
        <v>10000</v>
      </c>
      <c r="M42" s="205"/>
      <c r="N42" s="205">
        <f t="shared" si="1"/>
        <v>860092</v>
      </c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>
        <f t="shared" si="2"/>
        <v>0</v>
      </c>
      <c r="AA42" s="205"/>
      <c r="AB42" s="205">
        <f t="shared" si="0"/>
        <v>860092</v>
      </c>
      <c r="AC42" s="205"/>
      <c r="AD42" s="229">
        <f>'FY14 Projections by grd (PCS)'!U89</f>
        <v>332</v>
      </c>
      <c r="AE42" s="220"/>
      <c r="AF42" s="221">
        <f t="shared" si="3"/>
        <v>2590.6385542168673</v>
      </c>
    </row>
    <row r="43" spans="1:32">
      <c r="A43" s="238" t="str">
        <f>'FY14 vs. ceiling by LEA'!A90</f>
        <v>National Collegiate Preparatory PCS</v>
      </c>
      <c r="B43" s="175">
        <v>0</v>
      </c>
      <c r="C43" s="175">
        <v>0</v>
      </c>
      <c r="D43" s="175">
        <v>1056000</v>
      </c>
      <c r="E43" s="175"/>
      <c r="F43" s="175"/>
      <c r="G43" s="175"/>
      <c r="H43" s="175"/>
      <c r="I43" s="175"/>
      <c r="J43" s="175"/>
      <c r="K43" s="175"/>
      <c r="L43" s="175"/>
      <c r="M43" s="175"/>
      <c r="N43" s="205">
        <f t="shared" si="1"/>
        <v>1056000</v>
      </c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205">
        <f t="shared" si="2"/>
        <v>0</v>
      </c>
      <c r="AA43" s="175"/>
      <c r="AB43" s="207">
        <f t="shared" si="0"/>
        <v>1056000</v>
      </c>
      <c r="AC43" s="175"/>
      <c r="AD43" s="216">
        <f>'FY14 Projections by grd (PCS)'!U90</f>
        <v>355</v>
      </c>
      <c r="AE43" s="169"/>
      <c r="AF43" s="203">
        <f t="shared" si="3"/>
        <v>2974.6478873239435</v>
      </c>
    </row>
    <row r="44" spans="1:32">
      <c r="A44" s="219" t="str">
        <f>'FY14 vs. ceiling by LEA'!A103</f>
        <v>The Next Step PCS</v>
      </c>
      <c r="B44" s="205">
        <v>0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f t="shared" si="1"/>
        <v>0</v>
      </c>
      <c r="O44" s="205"/>
      <c r="P44" s="205">
        <v>101732</v>
      </c>
      <c r="Q44" s="205">
        <v>84269</v>
      </c>
      <c r="R44" s="205">
        <v>0</v>
      </c>
      <c r="S44" s="205">
        <v>28668</v>
      </c>
      <c r="T44" s="205">
        <v>87126</v>
      </c>
      <c r="U44" s="205">
        <v>366126</v>
      </c>
      <c r="V44" s="205">
        <v>300584</v>
      </c>
      <c r="W44" s="205">
        <v>0</v>
      </c>
      <c r="X44" s="205">
        <v>60000</v>
      </c>
      <c r="Y44" s="205">
        <v>312235</v>
      </c>
      <c r="Z44" s="205">
        <f t="shared" si="2"/>
        <v>1340740</v>
      </c>
      <c r="AA44" s="205"/>
      <c r="AB44" s="205">
        <f t="shared" si="0"/>
        <v>1340740</v>
      </c>
      <c r="AC44" s="205"/>
      <c r="AD44" s="229">
        <f>'FY14 Projections by grd (PCS)'!U103</f>
        <v>300</v>
      </c>
      <c r="AE44" s="220"/>
      <c r="AF44" s="221">
        <f t="shared" si="3"/>
        <v>4469.1333333333332</v>
      </c>
    </row>
    <row r="45" spans="1:32">
      <c r="A45" s="238" t="str">
        <f>'FY14 vs. ceiling by LEA'!A91</f>
        <v>Options PCS</v>
      </c>
      <c r="B45" s="175">
        <v>0</v>
      </c>
      <c r="C45" s="175">
        <v>0</v>
      </c>
      <c r="D45" s="175">
        <v>210000</v>
      </c>
      <c r="E45" s="175"/>
      <c r="F45" s="175"/>
      <c r="G45" s="175"/>
      <c r="H45" s="175">
        <v>18506</v>
      </c>
      <c r="I45" s="175"/>
      <c r="J45" s="175"/>
      <c r="K45" s="175"/>
      <c r="L45" s="175"/>
      <c r="M45" s="175"/>
      <c r="N45" s="205">
        <f t="shared" si="1"/>
        <v>228506</v>
      </c>
      <c r="O45" s="175"/>
      <c r="P45" s="175">
        <v>163350</v>
      </c>
      <c r="Q45" s="175">
        <v>95700</v>
      </c>
      <c r="R45" s="175">
        <v>0</v>
      </c>
      <c r="S45" s="175">
        <v>110000</v>
      </c>
      <c r="T45" s="175">
        <v>421104</v>
      </c>
      <c r="U45" s="175">
        <v>423237</v>
      </c>
      <c r="V45" s="175">
        <v>282383</v>
      </c>
      <c r="W45" s="175">
        <v>0</v>
      </c>
      <c r="X45" s="175">
        <v>85000</v>
      </c>
      <c r="Y45" s="175">
        <v>0</v>
      </c>
      <c r="Z45" s="205">
        <f t="shared" si="2"/>
        <v>1580774</v>
      </c>
      <c r="AA45" s="175"/>
      <c r="AB45" s="207">
        <f t="shared" si="0"/>
        <v>1809280</v>
      </c>
      <c r="AC45" s="175"/>
      <c r="AD45" s="216">
        <f>'FY14 Projections by grd (PCS)'!U91</f>
        <v>425</v>
      </c>
      <c r="AE45" s="169"/>
      <c r="AF45" s="203">
        <f t="shared" si="3"/>
        <v>4257.1294117647058</v>
      </c>
    </row>
    <row r="46" spans="1:32">
      <c r="A46" s="283" t="str">
        <f>'FY14 vs. ceiling by LEA'!A92</f>
        <v>Paul PCS</v>
      </c>
      <c r="B46" s="205">
        <v>250000</v>
      </c>
      <c r="C46" s="205">
        <v>485000</v>
      </c>
      <c r="D46" s="205">
        <v>503070</v>
      </c>
      <c r="E46" s="205"/>
      <c r="F46" s="205"/>
      <c r="G46" s="205"/>
      <c r="H46" s="205"/>
      <c r="I46" s="205"/>
      <c r="J46" s="205"/>
      <c r="K46" s="205"/>
      <c r="L46" s="205">
        <v>500000</v>
      </c>
      <c r="M46" s="205" t="s">
        <v>35</v>
      </c>
      <c r="N46" s="205">
        <f t="shared" si="1"/>
        <v>1738070</v>
      </c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>
        <f t="shared" si="2"/>
        <v>0</v>
      </c>
      <c r="AA46" s="205"/>
      <c r="AB46" s="205">
        <f t="shared" si="0"/>
        <v>1738070</v>
      </c>
      <c r="AC46" s="205"/>
      <c r="AD46" s="229">
        <f>'FY14 Projections by grd (PCS)'!U92</f>
        <v>675</v>
      </c>
      <c r="AE46" s="220"/>
      <c r="AF46" s="221">
        <f t="shared" si="3"/>
        <v>2574.9185185185183</v>
      </c>
    </row>
    <row r="47" spans="1:32">
      <c r="A47" s="238" t="str">
        <f>'FY14 vs. ceiling by LEA'!A93</f>
        <v>Perry Street Prep PCS</v>
      </c>
      <c r="B47" s="175">
        <v>535600</v>
      </c>
      <c r="C47" s="175">
        <v>409308</v>
      </c>
      <c r="D47" s="175">
        <v>0</v>
      </c>
      <c r="E47" s="175">
        <v>487317</v>
      </c>
      <c r="F47" s="175">
        <v>7456</v>
      </c>
      <c r="G47" s="175">
        <v>130524</v>
      </c>
      <c r="H47" s="175">
        <v>735570</v>
      </c>
      <c r="I47" s="175">
        <v>360071</v>
      </c>
      <c r="J47" s="175">
        <v>130524</v>
      </c>
      <c r="K47" s="175">
        <v>0</v>
      </c>
      <c r="L47" s="175">
        <v>0</v>
      </c>
      <c r="M47" s="175">
        <v>810160</v>
      </c>
      <c r="N47" s="205">
        <f t="shared" si="1"/>
        <v>3606530</v>
      </c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205">
        <f t="shared" si="2"/>
        <v>0</v>
      </c>
      <c r="AA47" s="175"/>
      <c r="AB47" s="207">
        <f t="shared" si="0"/>
        <v>3606530</v>
      </c>
      <c r="AC47" s="175"/>
      <c r="AD47" s="216">
        <f>'FY14 Projections by grd (PCS)'!U93</f>
        <v>1050</v>
      </c>
      <c r="AE47" s="169"/>
      <c r="AF47" s="203">
        <f t="shared" si="3"/>
        <v>3434.7904761904761</v>
      </c>
    </row>
    <row r="48" spans="1:32">
      <c r="A48" s="283" t="str">
        <f>'FY14 vs. ceiling by LEA'!A94</f>
        <v>Potomac Lighthouse PCS</v>
      </c>
      <c r="B48" s="205">
        <v>17000</v>
      </c>
      <c r="C48" s="205">
        <v>225600</v>
      </c>
      <c r="D48" s="205">
        <v>955069</v>
      </c>
      <c r="E48" s="205">
        <v>192109</v>
      </c>
      <c r="F48" s="205">
        <v>0</v>
      </c>
      <c r="G48" s="205">
        <v>10000</v>
      </c>
      <c r="H48" s="205">
        <v>0</v>
      </c>
      <c r="I48" s="205">
        <v>0</v>
      </c>
      <c r="J48" s="205">
        <v>63000</v>
      </c>
      <c r="K48" s="205">
        <v>0</v>
      </c>
      <c r="L48" s="205">
        <v>0</v>
      </c>
      <c r="M48" s="205">
        <v>0</v>
      </c>
      <c r="N48" s="205">
        <f t="shared" si="1"/>
        <v>1462778</v>
      </c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>
        <f t="shared" si="2"/>
        <v>0</v>
      </c>
      <c r="AA48" s="205"/>
      <c r="AB48" s="205">
        <f t="shared" si="0"/>
        <v>1462778</v>
      </c>
      <c r="AC48" s="205"/>
      <c r="AD48" s="229">
        <f>'FY14 Projections by grd (PCS)'!U94</f>
        <v>508</v>
      </c>
      <c r="AE48" s="220"/>
      <c r="AF48" s="221">
        <f t="shared" si="3"/>
        <v>2879.4842519685039</v>
      </c>
    </row>
    <row r="49" spans="1:33">
      <c r="A49" s="238" t="str">
        <f>'FY14 vs. ceiling by LEA'!A95</f>
        <v>Richard Wright PCS for Journalism and Media Arts</v>
      </c>
      <c r="B49" s="175">
        <v>0</v>
      </c>
      <c r="C49" s="175">
        <v>105932</v>
      </c>
      <c r="D49" s="175">
        <v>767292</v>
      </c>
      <c r="E49" s="175">
        <v>0</v>
      </c>
      <c r="F49" s="175">
        <v>0</v>
      </c>
      <c r="G49" s="175">
        <v>60819</v>
      </c>
      <c r="H49" s="175">
        <v>0</v>
      </c>
      <c r="I49" s="175">
        <v>0</v>
      </c>
      <c r="J49" s="175">
        <v>0</v>
      </c>
      <c r="K49" s="175">
        <v>0</v>
      </c>
      <c r="L49" s="175">
        <v>10000</v>
      </c>
      <c r="M49" s="175">
        <v>0</v>
      </c>
      <c r="N49" s="205">
        <f t="shared" si="1"/>
        <v>944043</v>
      </c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205">
        <f t="shared" si="2"/>
        <v>0</v>
      </c>
      <c r="AA49" s="175"/>
      <c r="AB49" s="207">
        <f t="shared" si="0"/>
        <v>944043</v>
      </c>
      <c r="AC49" s="175"/>
      <c r="AD49" s="216">
        <f>'FY14 Projections by grd (PCS)'!U95</f>
        <v>375</v>
      </c>
      <c r="AE49" s="169"/>
      <c r="AF49" s="203">
        <f t="shared" si="3"/>
        <v>2517.4479999999999</v>
      </c>
    </row>
    <row r="50" spans="1:33">
      <c r="A50" s="283" t="str">
        <f>'FY14 vs. ceiling by LEA'!A96</f>
        <v>Roots PCS</v>
      </c>
      <c r="B50" s="205">
        <v>22050</v>
      </c>
      <c r="C50" s="205">
        <v>44710</v>
      </c>
      <c r="D50" s="205">
        <v>302400</v>
      </c>
      <c r="E50" s="205">
        <v>0</v>
      </c>
      <c r="F50" s="205">
        <v>0</v>
      </c>
      <c r="G50" s="205">
        <v>3675</v>
      </c>
      <c r="H50" s="205">
        <v>24150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5">
        <f t="shared" si="1"/>
        <v>396985</v>
      </c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>
        <f t="shared" si="2"/>
        <v>0</v>
      </c>
      <c r="AA50" s="205"/>
      <c r="AB50" s="205">
        <f t="shared" si="0"/>
        <v>396985</v>
      </c>
      <c r="AC50" s="205"/>
      <c r="AD50" s="229">
        <f>'FY14 Projections by grd (PCS)'!U96</f>
        <v>120</v>
      </c>
      <c r="AE50" s="220"/>
      <c r="AF50" s="221">
        <f t="shared" si="3"/>
        <v>3308.2083333333335</v>
      </c>
    </row>
    <row r="51" spans="1:33" ht="24">
      <c r="A51" s="238" t="str">
        <f>'FY14 vs. ceiling by LEA'!A97</f>
        <v>School for Educational Evolution and Development (SEED) PCS</v>
      </c>
      <c r="B51" s="175">
        <v>0</v>
      </c>
      <c r="C51" s="175">
        <v>0</v>
      </c>
      <c r="D51" s="175">
        <v>0</v>
      </c>
      <c r="E51" s="175">
        <v>0</v>
      </c>
      <c r="F51" s="175"/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205">
        <f t="shared" si="1"/>
        <v>0</v>
      </c>
      <c r="O51" s="175"/>
      <c r="P51" s="175">
        <v>309000</v>
      </c>
      <c r="Q51" s="175">
        <v>246472</v>
      </c>
      <c r="R51" s="175">
        <v>12000</v>
      </c>
      <c r="S51" s="175">
        <v>61263</v>
      </c>
      <c r="T51" s="175">
        <v>913864</v>
      </c>
      <c r="U51" s="175">
        <v>185400</v>
      </c>
      <c r="V51" s="175">
        <v>785000</v>
      </c>
      <c r="W51" s="175">
        <v>34034</v>
      </c>
      <c r="X51" s="175">
        <v>391143</v>
      </c>
      <c r="Y51" s="175">
        <v>200000</v>
      </c>
      <c r="Z51" s="205">
        <f t="shared" si="2"/>
        <v>3138176</v>
      </c>
      <c r="AA51" s="175"/>
      <c r="AB51" s="207">
        <f t="shared" si="0"/>
        <v>3138176</v>
      </c>
      <c r="AC51" s="175"/>
      <c r="AD51" s="216">
        <f>'FY14 Projections by grd (PCS)'!U97</f>
        <v>340</v>
      </c>
      <c r="AE51" s="169"/>
      <c r="AF51" s="203">
        <f t="shared" si="3"/>
        <v>9229.9294117647059</v>
      </c>
    </row>
    <row r="52" spans="1:33" s="194" customFormat="1">
      <c r="A52" s="283" t="str">
        <f>'FY14 vs. ceiling by LEA'!A98</f>
        <v xml:space="preserve"> Sela PCS  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>
        <f t="shared" si="1"/>
        <v>0</v>
      </c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>
        <f t="shared" si="2"/>
        <v>0</v>
      </c>
      <c r="AA52" s="205"/>
      <c r="AB52" s="205"/>
      <c r="AC52" s="205"/>
      <c r="AD52" s="229">
        <v>0</v>
      </c>
      <c r="AE52" s="220"/>
      <c r="AF52" s="280" t="s">
        <v>45</v>
      </c>
    </row>
    <row r="53" spans="1:33">
      <c r="A53" s="238" t="str">
        <f>'FY14 vs. ceiling by LEA'!A102</f>
        <v>St. Coletta Special Education PCS</v>
      </c>
      <c r="B53" s="175">
        <v>0</v>
      </c>
      <c r="C53" s="175">
        <v>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205">
        <f t="shared" si="1"/>
        <v>0</v>
      </c>
      <c r="O53" s="175"/>
      <c r="P53" s="175">
        <v>300000</v>
      </c>
      <c r="Q53" s="175">
        <v>575000</v>
      </c>
      <c r="R53" s="175">
        <v>0</v>
      </c>
      <c r="S53" s="175">
        <v>68000</v>
      </c>
      <c r="T53" s="175">
        <v>1200000</v>
      </c>
      <c r="U53" s="175">
        <v>590000</v>
      </c>
      <c r="V53" s="175">
        <v>368362</v>
      </c>
      <c r="W53" s="175">
        <v>856400</v>
      </c>
      <c r="X53" s="175">
        <v>78548</v>
      </c>
      <c r="Y53" s="175">
        <v>0</v>
      </c>
      <c r="Z53" s="205">
        <f t="shared" si="2"/>
        <v>4036310</v>
      </c>
      <c r="AA53" s="175">
        <v>3122863.4699999997</v>
      </c>
      <c r="AB53" s="207">
        <f t="shared" si="0"/>
        <v>4036310</v>
      </c>
      <c r="AC53" s="175"/>
      <c r="AD53" s="216">
        <f>'FY14 Projections by grd (PCS)'!U102</f>
        <v>250</v>
      </c>
      <c r="AE53" s="169"/>
      <c r="AF53" s="203">
        <f t="shared" si="3"/>
        <v>16145.24</v>
      </c>
    </row>
    <row r="54" spans="1:33" s="194" customFormat="1">
      <c r="A54" s="283" t="str">
        <f>'FY14 vs. ceiling by LEA'!A100</f>
        <v>Shining Stars Montessori PCS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>
        <f t="shared" si="1"/>
        <v>0</v>
      </c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>
        <f t="shared" si="2"/>
        <v>0</v>
      </c>
      <c r="AA54" s="205"/>
      <c r="AB54" s="205"/>
      <c r="AC54" s="205"/>
      <c r="AD54" s="229">
        <v>0</v>
      </c>
      <c r="AE54" s="220"/>
      <c r="AF54" s="280" t="s">
        <v>45</v>
      </c>
    </row>
    <row r="55" spans="1:33" s="194" customFormat="1">
      <c r="A55" s="238" t="str">
        <f>'FY14 vs. ceiling by LEA'!A101</f>
        <v>Somerset Preparatory Academy PCS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205">
        <f t="shared" si="1"/>
        <v>0</v>
      </c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205">
        <f t="shared" si="2"/>
        <v>0</v>
      </c>
      <c r="AA55" s="175"/>
      <c r="AB55" s="207"/>
      <c r="AC55" s="175"/>
      <c r="AD55" s="216">
        <v>0</v>
      </c>
      <c r="AE55" s="169"/>
      <c r="AF55" s="279" t="s">
        <v>45</v>
      </c>
    </row>
    <row r="56" spans="1:33">
      <c r="A56" s="283" t="str">
        <f>'FY14 vs. ceiling by LEA'!A105</f>
        <v>Thurgood Marshall Academy PCS</v>
      </c>
      <c r="B56" s="205">
        <v>0</v>
      </c>
      <c r="C56" s="205">
        <v>4200</v>
      </c>
      <c r="D56" s="205">
        <v>14000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>
        <f t="shared" si="1"/>
        <v>18200</v>
      </c>
      <c r="O56" s="205"/>
      <c r="P56" s="205">
        <v>155000</v>
      </c>
      <c r="Q56" s="205">
        <v>520000</v>
      </c>
      <c r="R56" s="205">
        <v>0</v>
      </c>
      <c r="S56" s="205">
        <v>41000</v>
      </c>
      <c r="T56" s="205">
        <v>603000</v>
      </c>
      <c r="U56" s="205">
        <v>822226</v>
      </c>
      <c r="V56" s="205">
        <v>0</v>
      </c>
      <c r="W56" s="205">
        <v>45183</v>
      </c>
      <c r="X56" s="205">
        <v>50000</v>
      </c>
      <c r="Y56" s="205">
        <v>3984579</v>
      </c>
      <c r="Z56" s="205">
        <f t="shared" si="2"/>
        <v>6220988</v>
      </c>
      <c r="AA56" s="205"/>
      <c r="AB56" s="205">
        <f>N56+Z56</f>
        <v>6239188</v>
      </c>
      <c r="AC56" s="205"/>
      <c r="AD56" s="229">
        <f>'FY14 Projections by grd (PCS)'!U105</f>
        <v>405</v>
      </c>
      <c r="AE56" s="220"/>
      <c r="AF56" s="221">
        <f t="shared" si="3"/>
        <v>15405.402469135803</v>
      </c>
    </row>
    <row r="57" spans="1:33">
      <c r="A57" s="238" t="str">
        <f>'FY14 vs. ceiling by LEA'!A106</f>
        <v>Tree of Life PCS</v>
      </c>
      <c r="B57" s="175">
        <v>0</v>
      </c>
      <c r="C57" s="175">
        <v>0</v>
      </c>
      <c r="D57" s="175">
        <v>0</v>
      </c>
      <c r="E57" s="175"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205">
        <f t="shared" si="1"/>
        <v>0</v>
      </c>
      <c r="O57" s="175"/>
      <c r="P57" s="175">
        <v>123600</v>
      </c>
      <c r="Q57" s="175">
        <v>202848</v>
      </c>
      <c r="R57" s="175">
        <v>0</v>
      </c>
      <c r="S57" s="175">
        <v>18950</v>
      </c>
      <c r="T57" s="175">
        <v>245585</v>
      </c>
      <c r="U57" s="175">
        <v>246777</v>
      </c>
      <c r="V57" s="175">
        <v>140000</v>
      </c>
      <c r="W57" s="175">
        <v>0</v>
      </c>
      <c r="X57" s="175">
        <v>0</v>
      </c>
      <c r="Y57" s="175">
        <v>0</v>
      </c>
      <c r="Z57" s="205">
        <f t="shared" si="2"/>
        <v>977760</v>
      </c>
      <c r="AA57" s="175"/>
      <c r="AB57" s="207">
        <f>Z57</f>
        <v>977760</v>
      </c>
      <c r="AC57" s="175"/>
      <c r="AD57" s="216">
        <f>'FY14 Projections by grd (PCS)'!U106</f>
        <v>325</v>
      </c>
      <c r="AE57" s="169"/>
      <c r="AF57" s="203">
        <f t="shared" si="3"/>
        <v>3008.4923076923078</v>
      </c>
    </row>
    <row r="58" spans="1:33">
      <c r="A58" s="283" t="str">
        <f>'FY14 vs. ceiling by LEA'!A107</f>
        <v>Two Rivers PCS</v>
      </c>
      <c r="B58" s="205">
        <v>0</v>
      </c>
      <c r="C58" s="205">
        <v>0</v>
      </c>
      <c r="D58" s="205">
        <v>0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  <c r="L58" s="205">
        <v>0</v>
      </c>
      <c r="M58" s="205">
        <v>0</v>
      </c>
      <c r="N58" s="205">
        <f t="shared" si="1"/>
        <v>0</v>
      </c>
      <c r="O58" s="205"/>
      <c r="P58" s="205">
        <v>180000</v>
      </c>
      <c r="Q58" s="205">
        <v>308000</v>
      </c>
      <c r="R58" s="205">
        <v>4800</v>
      </c>
      <c r="S58" s="205">
        <v>18000</v>
      </c>
      <c r="T58" s="205">
        <v>581433</v>
      </c>
      <c r="U58" s="205">
        <v>960844</v>
      </c>
      <c r="V58" s="205">
        <v>90000</v>
      </c>
      <c r="W58" s="205">
        <v>0</v>
      </c>
      <c r="X58" s="205">
        <v>0</v>
      </c>
      <c r="Y58" s="205">
        <v>210169</v>
      </c>
      <c r="Z58" s="205">
        <f t="shared" si="2"/>
        <v>2353246</v>
      </c>
      <c r="AA58" s="205"/>
      <c r="AB58" s="205">
        <f>Z58</f>
        <v>2353246</v>
      </c>
      <c r="AC58" s="205"/>
      <c r="AD58" s="229">
        <f>'FY14 Projections by grd (PCS)'!U107+'FY14 Projections by grd (PCS)'!U108</f>
        <v>514</v>
      </c>
      <c r="AE58" s="220"/>
      <c r="AF58" s="221">
        <f t="shared" si="3"/>
        <v>4578.2996108949419</v>
      </c>
    </row>
    <row r="59" spans="1:33">
      <c r="A59" s="238" t="str">
        <f>'FY14 vs. ceiling by LEA'!A109</f>
        <v xml:space="preserve">Washington Latin PCS </v>
      </c>
      <c r="B59" s="175">
        <v>334359</v>
      </c>
      <c r="C59" s="175">
        <v>172241</v>
      </c>
      <c r="D59" s="175">
        <v>0</v>
      </c>
      <c r="E59" s="175">
        <v>0</v>
      </c>
      <c r="F59" s="175">
        <v>0</v>
      </c>
      <c r="G59" s="175">
        <v>0</v>
      </c>
      <c r="H59" s="175">
        <v>660047</v>
      </c>
      <c r="I59" s="175">
        <v>744000</v>
      </c>
      <c r="J59" s="175">
        <v>556000</v>
      </c>
      <c r="K59" s="175">
        <v>0</v>
      </c>
      <c r="L59" s="175">
        <v>0</v>
      </c>
      <c r="M59" s="175">
        <v>0</v>
      </c>
      <c r="N59" s="205">
        <f t="shared" si="1"/>
        <v>2466647</v>
      </c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205">
        <f t="shared" si="2"/>
        <v>0</v>
      </c>
      <c r="AA59" s="175"/>
      <c r="AB59" s="207">
        <f>SUM('[7]Facilities expenditures '!$D$31)</f>
        <v>2466647</v>
      </c>
      <c r="AC59" s="175"/>
      <c r="AD59" s="216">
        <f>'FY14 Projections by grd (PCS)'!U109+'FY14 Projections by grd (PCS)'!U110</f>
        <v>621</v>
      </c>
      <c r="AE59" s="169"/>
      <c r="AF59" s="203">
        <f t="shared" si="3"/>
        <v>3972.0563607085346</v>
      </c>
    </row>
    <row r="60" spans="1:33">
      <c r="A60" s="283" t="str">
        <f>'FY14 vs. ceiling by LEA'!A111</f>
        <v>Washington Math Science &amp; Technology (WMST) PCS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>
        <f t="shared" si="1"/>
        <v>0</v>
      </c>
      <c r="O60" s="205"/>
      <c r="P60" s="205">
        <v>125000</v>
      </c>
      <c r="Q60" s="205">
        <v>118700</v>
      </c>
      <c r="R60" s="205">
        <v>0</v>
      </c>
      <c r="S60" s="205">
        <v>0</v>
      </c>
      <c r="T60" s="205">
        <v>367122</v>
      </c>
      <c r="U60" s="205">
        <v>386206</v>
      </c>
      <c r="V60" s="205">
        <v>190555</v>
      </c>
      <c r="W60" s="205">
        <v>64515</v>
      </c>
      <c r="X60" s="205">
        <v>55000</v>
      </c>
      <c r="Y60" s="205">
        <v>576760</v>
      </c>
      <c r="Z60" s="205">
        <f t="shared" si="2"/>
        <v>1883858</v>
      </c>
      <c r="AA60" s="205"/>
      <c r="AB60" s="205">
        <v>1866658</v>
      </c>
      <c r="AC60" s="205"/>
      <c r="AD60" s="229">
        <f>'FY14 Projections by grd (PCS)'!U111</f>
        <v>365</v>
      </c>
      <c r="AE60" s="220"/>
      <c r="AF60" s="221">
        <f t="shared" si="3"/>
        <v>5114.131506849315</v>
      </c>
    </row>
    <row r="61" spans="1:33">
      <c r="A61" s="238" t="str">
        <f>'FY14 vs. ceiling by LEA'!A112</f>
        <v>Washington Yu Ying PCS</v>
      </c>
      <c r="B61" s="175">
        <v>0</v>
      </c>
      <c r="C61" s="175">
        <v>0</v>
      </c>
      <c r="D61" s="175">
        <v>202200</v>
      </c>
      <c r="E61" s="175"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205">
        <f t="shared" si="1"/>
        <v>202200</v>
      </c>
      <c r="O61" s="175"/>
      <c r="P61" s="175">
        <v>117677</v>
      </c>
      <c r="Q61" s="175">
        <v>300840</v>
      </c>
      <c r="R61" s="175">
        <v>0</v>
      </c>
      <c r="S61" s="175">
        <v>7638</v>
      </c>
      <c r="T61" s="175">
        <v>357298</v>
      </c>
      <c r="U61" s="175">
        <v>523432</v>
      </c>
      <c r="V61" s="175">
        <v>557015</v>
      </c>
      <c r="W61" s="175">
        <v>18213</v>
      </c>
      <c r="X61" s="175">
        <v>0</v>
      </c>
      <c r="Y61" s="175">
        <v>0</v>
      </c>
      <c r="Z61" s="205">
        <f t="shared" si="2"/>
        <v>1882113</v>
      </c>
      <c r="AA61" s="175"/>
      <c r="AB61" s="207">
        <v>2065871</v>
      </c>
      <c r="AC61" s="175"/>
      <c r="AD61" s="216">
        <f>'FY14 Projections by grd (PCS)'!U112</f>
        <v>516</v>
      </c>
      <c r="AE61" s="169"/>
      <c r="AF61" s="203">
        <f t="shared" si="3"/>
        <v>4003.6259689922481</v>
      </c>
    </row>
    <row r="62" spans="1:33">
      <c r="A62" s="283" t="str">
        <f>'FY14 vs. ceiling by LEA'!A113</f>
        <v>William E. Doar Jr PCS for the Performing Arts</v>
      </c>
      <c r="B62" s="205">
        <v>164505</v>
      </c>
      <c r="C62" s="205">
        <v>115875</v>
      </c>
      <c r="D62" s="205">
        <v>1313993</v>
      </c>
      <c r="E62" s="205">
        <v>0</v>
      </c>
      <c r="F62" s="205">
        <v>-85000</v>
      </c>
      <c r="G62" s="205">
        <v>0</v>
      </c>
      <c r="H62" s="205">
        <v>164351</v>
      </c>
      <c r="I62" s="205">
        <v>86571</v>
      </c>
      <c r="J62" s="205">
        <v>161504</v>
      </c>
      <c r="K62" s="205">
        <v>0</v>
      </c>
      <c r="L62" s="205">
        <v>20000</v>
      </c>
      <c r="M62" s="205">
        <v>0</v>
      </c>
      <c r="N62" s="205">
        <f t="shared" si="1"/>
        <v>1941799</v>
      </c>
      <c r="O62" s="205"/>
      <c r="P62" s="205">
        <v>0</v>
      </c>
      <c r="Q62" s="205">
        <v>0</v>
      </c>
      <c r="R62" s="205">
        <v>0</v>
      </c>
      <c r="S62" s="205">
        <v>0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f t="shared" si="2"/>
        <v>0</v>
      </c>
      <c r="AA62" s="205">
        <v>0</v>
      </c>
      <c r="AB62" s="205">
        <v>1941798</v>
      </c>
      <c r="AC62" s="205"/>
      <c r="AD62" s="229">
        <f>'FY14 Projections by grd (PCS)'!U113</f>
        <v>460</v>
      </c>
      <c r="AE62" s="220"/>
      <c r="AF62" s="221">
        <f t="shared" si="3"/>
        <v>4221.3</v>
      </c>
    </row>
    <row r="63" spans="1:33">
      <c r="A63" s="288" t="str">
        <f>'FY14 vs. ceiling by LEA'!A114</f>
        <v>YouthBuild PCS</v>
      </c>
      <c r="B63" s="189">
        <v>0</v>
      </c>
      <c r="C63" s="189">
        <v>0</v>
      </c>
      <c r="D63" s="189">
        <v>0</v>
      </c>
      <c r="E63" s="189">
        <v>0</v>
      </c>
      <c r="F63" s="189"/>
      <c r="G63" s="189"/>
      <c r="H63" s="189"/>
      <c r="I63" s="189"/>
      <c r="J63" s="189"/>
      <c r="K63" s="189"/>
      <c r="L63" s="189"/>
      <c r="M63" s="189"/>
      <c r="N63" s="206">
        <f t="shared" si="1"/>
        <v>0</v>
      </c>
      <c r="O63" s="189">
        <v>0</v>
      </c>
      <c r="P63" s="189">
        <v>0</v>
      </c>
      <c r="Q63" s="189">
        <v>0</v>
      </c>
      <c r="R63" s="189">
        <v>0</v>
      </c>
      <c r="S63" s="189"/>
      <c r="T63" s="189"/>
      <c r="U63" s="189"/>
      <c r="V63" s="189"/>
      <c r="W63" s="189"/>
      <c r="X63" s="189"/>
      <c r="Y63" s="189"/>
      <c r="Z63" s="206">
        <f t="shared" si="2"/>
        <v>0</v>
      </c>
      <c r="AA63" s="189"/>
      <c r="AB63" s="208">
        <v>0</v>
      </c>
      <c r="AC63" s="189"/>
      <c r="AD63" s="217">
        <v>0</v>
      </c>
      <c r="AE63" s="188"/>
      <c r="AF63" s="281" t="s">
        <v>45</v>
      </c>
    </row>
    <row r="64" spans="1:33" s="160" customFormat="1">
      <c r="A64" s="286" t="s">
        <v>132</v>
      </c>
      <c r="B64" s="190">
        <f t="shared" ref="B64:N64" si="4">SUM(B4:B63)</f>
        <v>6603358.9699999997</v>
      </c>
      <c r="C64" s="190">
        <f t="shared" si="4"/>
        <v>6260059.6400000006</v>
      </c>
      <c r="D64" s="190">
        <f t="shared" si="4"/>
        <v>31997770.280000001</v>
      </c>
      <c r="E64" s="190">
        <f t="shared" si="4"/>
        <v>968186</v>
      </c>
      <c r="F64" s="190">
        <f t="shared" si="4"/>
        <v>219546</v>
      </c>
      <c r="G64" s="190">
        <f t="shared" si="4"/>
        <v>596084</v>
      </c>
      <c r="H64" s="190">
        <f t="shared" si="4"/>
        <v>8618422</v>
      </c>
      <c r="I64" s="190">
        <f t="shared" si="4"/>
        <v>5419863</v>
      </c>
      <c r="J64" s="190">
        <f t="shared" si="4"/>
        <v>2306277</v>
      </c>
      <c r="K64" s="190">
        <f t="shared" si="4"/>
        <v>247277</v>
      </c>
      <c r="L64" s="190">
        <f t="shared" si="4"/>
        <v>4108522</v>
      </c>
      <c r="M64" s="190">
        <f t="shared" si="4"/>
        <v>3010160</v>
      </c>
      <c r="N64" s="191">
        <f t="shared" si="4"/>
        <v>70355525.890000001</v>
      </c>
      <c r="O64" s="190">
        <v>0</v>
      </c>
      <c r="P64" s="190">
        <f>SUM(P4:P63)</f>
        <v>3979137</v>
      </c>
      <c r="Q64" s="190">
        <f t="shared" ref="Q64:Y64" si="5">SUM(Q4:Q63)</f>
        <v>5238726</v>
      </c>
      <c r="R64" s="190">
        <f t="shared" si="5"/>
        <v>31800</v>
      </c>
      <c r="S64" s="190">
        <f t="shared" si="5"/>
        <v>612116</v>
      </c>
      <c r="T64" s="190">
        <f t="shared" si="5"/>
        <v>10539193</v>
      </c>
      <c r="U64" s="190">
        <f t="shared" si="5"/>
        <v>12605859</v>
      </c>
      <c r="V64" s="190">
        <f t="shared" si="5"/>
        <v>6418406</v>
      </c>
      <c r="W64" s="190">
        <f t="shared" si="5"/>
        <v>1456104</v>
      </c>
      <c r="X64" s="190">
        <f t="shared" si="5"/>
        <v>1168195</v>
      </c>
      <c r="Y64" s="190">
        <f t="shared" si="5"/>
        <v>7075546.7800000003</v>
      </c>
      <c r="Z64" s="191">
        <f>SUM(Z4:Z63)</f>
        <v>49125082.780000001</v>
      </c>
      <c r="AA64" s="190">
        <f>SUM(AA4:AA63)</f>
        <v>3122863.4699999997</v>
      </c>
      <c r="AB64" s="191">
        <f>SUM(AB4:AB63)</f>
        <v>119444965.67</v>
      </c>
      <c r="AC64" s="190">
        <f>SUM(AC4:AC63)</f>
        <v>0</v>
      </c>
      <c r="AD64" s="160">
        <f>SUM(AD4:AD63)</f>
        <v>31392</v>
      </c>
      <c r="AF64" s="190">
        <f>AB64/AD64</f>
        <v>3804.9492122196739</v>
      </c>
      <c r="AG64" s="282"/>
    </row>
    <row r="65" spans="1:29" hidden="1">
      <c r="A65" s="239" t="s">
        <v>133</v>
      </c>
      <c r="B65" s="145">
        <f>B64</f>
        <v>6603358.9699999997</v>
      </c>
      <c r="C65" s="145">
        <f t="shared" ref="C65:AC65" si="6">C64</f>
        <v>6260059.6400000006</v>
      </c>
      <c r="D65" s="145">
        <f t="shared" si="6"/>
        <v>31997770.280000001</v>
      </c>
      <c r="E65" s="145">
        <f t="shared" si="6"/>
        <v>968186</v>
      </c>
      <c r="F65" s="145">
        <f t="shared" si="6"/>
        <v>219546</v>
      </c>
      <c r="G65" s="145">
        <f t="shared" si="6"/>
        <v>596084</v>
      </c>
      <c r="H65" s="145">
        <f t="shared" si="6"/>
        <v>8618422</v>
      </c>
      <c r="I65" s="145">
        <f t="shared" si="6"/>
        <v>5419863</v>
      </c>
      <c r="J65" s="145">
        <f t="shared" si="6"/>
        <v>2306277</v>
      </c>
      <c r="K65" s="145">
        <f t="shared" si="6"/>
        <v>247277</v>
      </c>
      <c r="L65" s="145">
        <f t="shared" si="6"/>
        <v>4108522</v>
      </c>
      <c r="M65" s="145">
        <f t="shared" si="6"/>
        <v>3010160</v>
      </c>
      <c r="N65" s="145">
        <f t="shared" si="6"/>
        <v>70355525.890000001</v>
      </c>
      <c r="O65" s="145">
        <f t="shared" si="6"/>
        <v>0</v>
      </c>
      <c r="P65" s="145">
        <f t="shared" si="6"/>
        <v>3979137</v>
      </c>
      <c r="Q65" s="145">
        <f t="shared" si="6"/>
        <v>5238726</v>
      </c>
      <c r="R65" s="145">
        <f t="shared" si="6"/>
        <v>31800</v>
      </c>
      <c r="S65" s="145">
        <f t="shared" si="6"/>
        <v>612116</v>
      </c>
      <c r="T65" s="145">
        <f t="shared" si="6"/>
        <v>10539193</v>
      </c>
      <c r="U65" s="145">
        <f t="shared" si="6"/>
        <v>12605859</v>
      </c>
      <c r="V65" s="145">
        <f t="shared" si="6"/>
        <v>6418406</v>
      </c>
      <c r="W65" s="145">
        <f t="shared" si="6"/>
        <v>1456104</v>
      </c>
      <c r="X65" s="145">
        <f t="shared" si="6"/>
        <v>1168195</v>
      </c>
      <c r="Y65" s="145">
        <f t="shared" si="6"/>
        <v>7075546.7800000003</v>
      </c>
      <c r="Z65" s="145">
        <f t="shared" si="6"/>
        <v>49125082.780000001</v>
      </c>
      <c r="AA65" s="145">
        <f t="shared" si="6"/>
        <v>3122863.4699999997</v>
      </c>
      <c r="AB65" s="145">
        <f t="shared" si="6"/>
        <v>119444965.67</v>
      </c>
      <c r="AC65" s="145">
        <f t="shared" si="6"/>
        <v>0</v>
      </c>
    </row>
    <row r="66" spans="1:29" hidden="1">
      <c r="B66" s="149">
        <v>8.1122907954914683E-2</v>
      </c>
      <c r="C66" s="149">
        <v>8.7360125645479139E-2</v>
      </c>
      <c r="D66" s="149">
        <v>0.47605203878275654</v>
      </c>
      <c r="E66" s="149">
        <v>1.4646541805564071E-2</v>
      </c>
      <c r="F66" s="149">
        <v>3.1800897563396546E-3</v>
      </c>
      <c r="G66" s="149">
        <v>7.6837914596292875E-3</v>
      </c>
      <c r="H66" s="149">
        <v>0.1215525109267315</v>
      </c>
      <c r="I66" s="149">
        <v>4.3474664778403768E-2</v>
      </c>
      <c r="J66" s="149">
        <v>6.2317981056085707E-2</v>
      </c>
      <c r="K66" s="149">
        <v>3.869877877955329E-3</v>
      </c>
      <c r="L66" s="149">
        <v>6.5614037097505046E-2</v>
      </c>
      <c r="M66" s="149">
        <v>4.7108916693044692E-2</v>
      </c>
      <c r="P66" s="150">
        <v>7.1506879371078316E-2</v>
      </c>
      <c r="Q66" s="150">
        <v>0.10160455953707584</v>
      </c>
      <c r="R66" s="150">
        <v>6.1354221963445463E-4</v>
      </c>
      <c r="S66" s="156">
        <v>9.9224054312455137E-3</v>
      </c>
      <c r="T66" s="156">
        <v>0.21860381946624374</v>
      </c>
      <c r="U66" s="157">
        <v>0.25589861998148028</v>
      </c>
      <c r="V66" s="150">
        <v>0.19632561912680441</v>
      </c>
      <c r="W66" s="150">
        <v>3.6618341277418823E-2</v>
      </c>
      <c r="X66" s="150">
        <v>3.4393170279536395E-2</v>
      </c>
      <c r="Y66" s="150">
        <v>0.12563185684076617</v>
      </c>
    </row>
    <row r="67" spans="1:29" hidden="1">
      <c r="S67" s="135"/>
      <c r="T67" s="135"/>
      <c r="U67" s="158"/>
    </row>
    <row r="68" spans="1:29" hidden="1">
      <c r="S68" s="135"/>
      <c r="T68" s="135"/>
      <c r="U68" s="158"/>
    </row>
    <row r="69" spans="1:29" hidden="1">
      <c r="R69" s="124">
        <v>0</v>
      </c>
      <c r="S69" s="135" t="s">
        <v>134</v>
      </c>
      <c r="T69" s="135" t="s">
        <v>136</v>
      </c>
      <c r="U69" s="158" t="s">
        <v>137</v>
      </c>
    </row>
    <row r="70" spans="1:29" hidden="1">
      <c r="R70" s="124">
        <v>500</v>
      </c>
      <c r="S70" s="135">
        <v>0</v>
      </c>
      <c r="T70" s="135">
        <v>0</v>
      </c>
      <c r="U70" s="146">
        <v>0</v>
      </c>
    </row>
    <row r="71" spans="1:29" hidden="1">
      <c r="R71" s="124">
        <v>1000</v>
      </c>
      <c r="S71" s="135">
        <v>500</v>
      </c>
      <c r="T71" s="135">
        <v>0</v>
      </c>
      <c r="U71" s="146">
        <v>0</v>
      </c>
    </row>
    <row r="72" spans="1:29" hidden="1">
      <c r="R72" s="124">
        <v>1500</v>
      </c>
      <c r="S72" s="135">
        <v>1000</v>
      </c>
      <c r="T72" s="135">
        <v>2</v>
      </c>
      <c r="U72" s="146">
        <v>4.878048780487805E-2</v>
      </c>
    </row>
    <row r="73" spans="1:29" hidden="1">
      <c r="R73" s="124">
        <v>2000</v>
      </c>
      <c r="S73" s="135">
        <v>1500</v>
      </c>
      <c r="T73" s="135">
        <v>1</v>
      </c>
      <c r="U73" s="146">
        <v>2.4390243902439025E-2</v>
      </c>
    </row>
    <row r="74" spans="1:29" hidden="1">
      <c r="R74" s="124">
        <v>2500</v>
      </c>
      <c r="S74" s="135">
        <v>2000</v>
      </c>
      <c r="T74" s="135">
        <v>4</v>
      </c>
      <c r="U74" s="146">
        <v>9.7560975609756101E-2</v>
      </c>
      <c r="V74" s="124">
        <v>0.17073170731707318</v>
      </c>
    </row>
    <row r="75" spans="1:29" hidden="1">
      <c r="R75" s="124">
        <v>3000</v>
      </c>
      <c r="S75" s="135">
        <v>2500</v>
      </c>
      <c r="T75" s="135">
        <v>3</v>
      </c>
      <c r="U75" s="146">
        <v>7.3170731707317069E-2</v>
      </c>
      <c r="V75" s="124">
        <v>0.14634146341463414</v>
      </c>
    </row>
    <row r="76" spans="1:29" hidden="1">
      <c r="R76" s="124">
        <v>3500</v>
      </c>
      <c r="S76" s="135">
        <v>3000</v>
      </c>
      <c r="T76" s="135">
        <v>3</v>
      </c>
      <c r="U76" s="146">
        <v>7.3170731707317069E-2</v>
      </c>
      <c r="V76" s="124">
        <v>28</v>
      </c>
    </row>
    <row r="77" spans="1:29" hidden="1">
      <c r="R77" s="124">
        <v>4000</v>
      </c>
      <c r="S77" s="135">
        <v>3500</v>
      </c>
      <c r="T77" s="135">
        <v>3</v>
      </c>
      <c r="U77" s="146">
        <v>7.3170731707317069E-2</v>
      </c>
      <c r="V77" s="124">
        <v>0.68292682926829273</v>
      </c>
    </row>
    <row r="78" spans="1:29" ht="13" hidden="1" thickBot="1">
      <c r="R78" s="124">
        <v>4500</v>
      </c>
      <c r="S78" s="136">
        <v>4000</v>
      </c>
      <c r="T78" s="136">
        <v>6</v>
      </c>
      <c r="U78" s="146">
        <v>0.14634146341463414</v>
      </c>
    </row>
    <row r="79" spans="1:29" hidden="1">
      <c r="R79" s="124">
        <v>5000</v>
      </c>
      <c r="S79" s="124">
        <v>4500</v>
      </c>
      <c r="T79" s="124">
        <v>4</v>
      </c>
      <c r="U79" s="150">
        <v>9.7560975609756101E-2</v>
      </c>
    </row>
    <row r="80" spans="1:29" hidden="1">
      <c r="S80" s="124">
        <v>5000</v>
      </c>
      <c r="T80" s="124">
        <v>4</v>
      </c>
      <c r="U80" s="150">
        <v>9.7560975609756101E-2</v>
      </c>
    </row>
    <row r="81" spans="19:21" hidden="1">
      <c r="S81" s="124" t="s">
        <v>135</v>
      </c>
      <c r="T81" s="124">
        <v>11</v>
      </c>
      <c r="U81" s="150">
        <v>0.26829268292682928</v>
      </c>
    </row>
    <row r="82" spans="19:21" hidden="1">
      <c r="T82" s="124">
        <v>41</v>
      </c>
    </row>
    <row r="83" spans="19:21" hidden="1"/>
    <row r="84" spans="19:21" hidden="1">
      <c r="T84" s="124">
        <v>0.7192982456140351</v>
      </c>
    </row>
    <row r="85" spans="19:21" hidden="1"/>
    <row r="86" spans="19:21" hidden="1"/>
    <row r="87" spans="19:21" hidden="1"/>
    <row r="88" spans="19:21" hidden="1"/>
    <row r="89" spans="19:21" hidden="1"/>
    <row r="90" spans="19:21" hidden="1"/>
    <row r="91" spans="19:21" hidden="1"/>
    <row r="92" spans="19:21" hidden="1"/>
    <row r="93" spans="19:21" hidden="1"/>
    <row r="94" spans="19:21" hidden="1"/>
    <row r="95" spans="19:21" hidden="1"/>
    <row r="96" spans="19:21" hidden="1"/>
    <row r="97" spans="2:6" hidden="1"/>
    <row r="98" spans="2:6" hidden="1"/>
    <row r="99" spans="2:6" hidden="1"/>
    <row r="100" spans="2:6" hidden="1"/>
    <row r="101" spans="2:6" hidden="1">
      <c r="B101" s="142"/>
      <c r="C101" s="142"/>
    </row>
    <row r="102" spans="2:6" hidden="1">
      <c r="B102" s="142"/>
      <c r="C102" s="142"/>
    </row>
    <row r="103" spans="2:6" hidden="1">
      <c r="B103" s="142"/>
      <c r="C103" s="142"/>
    </row>
    <row r="104" spans="2:6" hidden="1">
      <c r="B104" s="142" t="s">
        <v>19</v>
      </c>
      <c r="C104" s="148">
        <v>8.1122907954914683E-2</v>
      </c>
      <c r="E104" s="124" t="s">
        <v>19</v>
      </c>
      <c r="F104" s="149">
        <v>7.1506879371078316E-2</v>
      </c>
    </row>
    <row r="105" spans="2:6" hidden="1">
      <c r="B105" s="142" t="s">
        <v>20</v>
      </c>
      <c r="C105" s="148">
        <v>8.7360125645479139E-2</v>
      </c>
      <c r="E105" s="124" t="s">
        <v>20</v>
      </c>
      <c r="F105" s="149">
        <v>0.10160455953707584</v>
      </c>
    </row>
    <row r="106" spans="2:6" hidden="1">
      <c r="B106" s="142" t="s">
        <v>1</v>
      </c>
      <c r="C106" s="148">
        <v>0.47605203878275654</v>
      </c>
      <c r="E106" s="124" t="s">
        <v>2</v>
      </c>
      <c r="F106" s="149">
        <v>6.1354221963445463E-4</v>
      </c>
    </row>
    <row r="107" spans="2:6" hidden="1">
      <c r="B107" s="142" t="s">
        <v>11</v>
      </c>
      <c r="C107" s="148">
        <v>1.4646541805564071E-2</v>
      </c>
      <c r="E107" s="124" t="s">
        <v>3</v>
      </c>
      <c r="F107" s="149">
        <v>9.9224054312455137E-3</v>
      </c>
    </row>
    <row r="108" spans="2:6" hidden="1">
      <c r="B108" s="143" t="s">
        <v>2</v>
      </c>
      <c r="C108" s="148">
        <v>3.1800897563396546E-3</v>
      </c>
      <c r="E108" s="124" t="s">
        <v>25</v>
      </c>
      <c r="F108" s="149">
        <v>0.21860381946624374</v>
      </c>
    </row>
    <row r="109" spans="2:6" hidden="1">
      <c r="B109" s="142" t="s">
        <v>3</v>
      </c>
      <c r="C109" s="148">
        <v>7.6837914596292875E-3</v>
      </c>
      <c r="E109" s="124" t="s">
        <v>8</v>
      </c>
      <c r="F109" s="149">
        <v>0.4888425803857035</v>
      </c>
    </row>
    <row r="110" spans="2:6" hidden="1">
      <c r="B110" s="142" t="s">
        <v>22</v>
      </c>
      <c r="C110" s="148">
        <v>0.1215525109267315</v>
      </c>
      <c r="E110" s="124" t="s">
        <v>26</v>
      </c>
      <c r="F110" s="149">
        <v>3.4393170279536395E-2</v>
      </c>
    </row>
    <row r="111" spans="2:6" hidden="1">
      <c r="B111" s="124" t="s">
        <v>23</v>
      </c>
      <c r="C111" s="149">
        <v>0.1096625237124448</v>
      </c>
      <c r="E111" s="124" t="s">
        <v>31</v>
      </c>
      <c r="F111" s="149">
        <v>0.12563185684076617</v>
      </c>
    </row>
    <row r="112" spans="2:6" hidden="1">
      <c r="B112" s="124" t="s">
        <v>24</v>
      </c>
      <c r="C112" s="149">
        <v>6.5614037097505046E-2</v>
      </c>
      <c r="F112" s="150">
        <v>1.0511188135312839</v>
      </c>
    </row>
    <row r="113" spans="2:3" hidden="1">
      <c r="B113" s="124" t="s">
        <v>31</v>
      </c>
      <c r="C113" s="149">
        <v>4.7108916693044692E-2</v>
      </c>
    </row>
    <row r="114" spans="2:3" hidden="1">
      <c r="C114" s="149">
        <v>1.0139834838344093</v>
      </c>
    </row>
    <row r="115" spans="2:3" hidden="1"/>
    <row r="116" spans="2:3" hidden="1"/>
    <row r="117" spans="2:3" hidden="1"/>
    <row r="118" spans="2:3" hidden="1"/>
    <row r="119" spans="2:3" hidden="1"/>
    <row r="120" spans="2:3" hidden="1"/>
    <row r="121" spans="2:3" hidden="1"/>
    <row r="122" spans="2:3" hidden="1"/>
    <row r="123" spans="2:3" hidden="1"/>
    <row r="124" spans="2:3" hidden="1"/>
    <row r="125" spans="2:3" hidden="1"/>
    <row r="126" spans="2:3" hidden="1"/>
    <row r="127" spans="2:3" hidden="1"/>
    <row r="128" spans="2:3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spans="1:32" hidden="1"/>
    <row r="242" spans="1:32" hidden="1"/>
    <row r="243" spans="1:32" hidden="1"/>
    <row r="244" spans="1:32" hidden="1"/>
    <row r="245" spans="1:32" hidden="1"/>
    <row r="246" spans="1:32" hidden="1"/>
    <row r="247" spans="1:32" hidden="1"/>
    <row r="248" spans="1:32" hidden="1"/>
    <row r="249" spans="1:32" hidden="1"/>
    <row r="250" spans="1:32" hidden="1"/>
    <row r="251" spans="1:32" hidden="1"/>
    <row r="252" spans="1:32" hidden="1"/>
    <row r="253" spans="1:32" hidden="1"/>
    <row r="254" spans="1:32" hidden="1"/>
    <row r="256" spans="1:32">
      <c r="A256" s="287" t="s">
        <v>182</v>
      </c>
      <c r="B256" s="231"/>
      <c r="C256" s="231"/>
      <c r="D256" s="231"/>
      <c r="E256" s="231"/>
      <c r="F256" s="231"/>
      <c r="G256" s="231"/>
      <c r="H256" s="231"/>
      <c r="I256" s="231"/>
      <c r="J256" s="231"/>
      <c r="K256" s="231"/>
      <c r="AF256" s="268"/>
    </row>
    <row r="257" spans="1:20">
      <c r="A257" s="289" t="s">
        <v>615</v>
      </c>
      <c r="B257" s="231"/>
      <c r="C257" s="231"/>
      <c r="D257" s="231"/>
      <c r="E257" s="231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</row>
    <row r="258" spans="1:20">
      <c r="A258" s="289" t="s">
        <v>623</v>
      </c>
      <c r="B258" s="290"/>
      <c r="C258" s="231"/>
      <c r="D258" s="231"/>
      <c r="E258" s="231"/>
      <c r="F258" s="231"/>
      <c r="G258" s="231"/>
      <c r="H258" s="231"/>
      <c r="I258" s="231"/>
    </row>
  </sheetData>
  <dataConsolidate/>
  <mergeCells count="25">
    <mergeCell ref="AD2:AD3"/>
    <mergeCell ref="AF2:AF3"/>
    <mergeCell ref="P1:Z1"/>
    <mergeCell ref="R2:R3"/>
    <mergeCell ref="S2:S3"/>
    <mergeCell ref="A2:A3"/>
    <mergeCell ref="Z2:Z3"/>
    <mergeCell ref="I2:K2"/>
    <mergeCell ref="X2:X3"/>
    <mergeCell ref="M2:M3"/>
    <mergeCell ref="P2:P3"/>
    <mergeCell ref="Q2:Q3"/>
    <mergeCell ref="F2:F3"/>
    <mergeCell ref="G2:G3"/>
    <mergeCell ref="H2:H3"/>
    <mergeCell ref="L2:L3"/>
    <mergeCell ref="B1:N1"/>
    <mergeCell ref="AB2:AB3"/>
    <mergeCell ref="Y2:Y3"/>
    <mergeCell ref="N2:N3"/>
    <mergeCell ref="C2:C3"/>
    <mergeCell ref="D2:D3"/>
    <mergeCell ref="E2:E3"/>
    <mergeCell ref="T2:T3"/>
    <mergeCell ref="B2:B3"/>
  </mergeCells>
  <phoneticPr fontId="4" type="noConversion"/>
  <conditionalFormatting sqref="A55 A57 A59 A61 A63">
    <cfRule type="cellIs" dxfId="2" priority="1" stopIfTrue="1" operator="lessThan">
      <formula>0</formula>
    </cfRule>
  </conditionalFormatting>
  <conditionalFormatting sqref="A43 A53">
    <cfRule type="cellIs" dxfId="1" priority="2" stopIfTrue="1" operator="lessThan">
      <formula>0</formula>
    </cfRule>
  </conditionalFormatting>
  <pageMargins left="0.75" right="0.75" top="1" bottom="1" header="0.5" footer="0.5"/>
  <pageSetup paperSize="3" scale="4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D56"/>
  <sheetViews>
    <sheetView workbookViewId="0">
      <selection activeCell="G31" sqref="G31"/>
    </sheetView>
  </sheetViews>
  <sheetFormatPr baseColWidth="10" defaultColWidth="8.83203125" defaultRowHeight="12" x14ac:dyDescent="0"/>
  <cols>
    <col min="1" max="1" width="39.1640625" style="269" customWidth="1"/>
    <col min="2" max="2" width="19" customWidth="1"/>
    <col min="3" max="3" width="1.1640625" customWidth="1"/>
    <col min="4" max="4" width="12.33203125" customWidth="1"/>
  </cols>
  <sheetData>
    <row r="1" spans="1:4" s="195" customFormat="1">
      <c r="A1" s="269"/>
    </row>
    <row r="2" spans="1:4" ht="48">
      <c r="A2" s="270" t="s">
        <v>0</v>
      </c>
      <c r="B2" s="4" t="s">
        <v>611</v>
      </c>
      <c r="D2" s="4" t="s">
        <v>612</v>
      </c>
    </row>
    <row r="3" spans="1:4">
      <c r="A3" s="271" t="s">
        <v>19</v>
      </c>
      <c r="B3" s="62">
        <f>'PCS Facilities Exp - Proj FY14'!B64</f>
        <v>6603358.9699999997</v>
      </c>
      <c r="D3" s="139">
        <f>B3/$B$16</f>
        <v>9.3857005351992817E-2</v>
      </c>
    </row>
    <row r="4" spans="1:4">
      <c r="A4" s="271" t="s">
        <v>20</v>
      </c>
      <c r="B4" s="62">
        <f>'PCS Facilities Exp - Proj FY14'!C64</f>
        <v>6260059.6400000006</v>
      </c>
      <c r="D4" s="139">
        <f t="shared" ref="D4:D15" si="0">B4/$B$16</f>
        <v>8.8977511870034581E-2</v>
      </c>
    </row>
    <row r="5" spans="1:4">
      <c r="A5" s="271" t="s">
        <v>1</v>
      </c>
      <c r="B5" s="62">
        <f>'PCS Facilities Exp - Proj FY14'!D64</f>
        <v>31997770.280000001</v>
      </c>
      <c r="D5" s="139">
        <f t="shared" si="0"/>
        <v>0.4548010959370572</v>
      </c>
    </row>
    <row r="6" spans="1:4">
      <c r="A6" s="272" t="s">
        <v>11</v>
      </c>
      <c r="B6" s="62">
        <f>'PCS Facilities Exp - Proj FY14'!E64</f>
        <v>968186</v>
      </c>
      <c r="D6" s="139">
        <f t="shared" si="0"/>
        <v>1.3761335556125995E-2</v>
      </c>
    </row>
    <row r="7" spans="1:4">
      <c r="A7" s="272" t="s">
        <v>2</v>
      </c>
      <c r="B7" s="62">
        <f>'PCS Facilities Exp - Proj FY14'!F64</f>
        <v>219546</v>
      </c>
      <c r="D7" s="139">
        <f t="shared" si="0"/>
        <v>3.1205224781242838E-3</v>
      </c>
    </row>
    <row r="8" spans="1:4">
      <c r="A8" s="272" t="s">
        <v>3</v>
      </c>
      <c r="B8" s="62">
        <f>'PCS Facilities Exp - Proj FY14'!G64</f>
        <v>596084</v>
      </c>
      <c r="D8" s="139">
        <f t="shared" si="0"/>
        <v>8.4724546147515126E-3</v>
      </c>
    </row>
    <row r="9" spans="1:4">
      <c r="A9" s="272" t="s">
        <v>22</v>
      </c>
      <c r="B9" s="62">
        <f>'PCS Facilities Exp - Proj FY14'!H64</f>
        <v>8618422</v>
      </c>
      <c r="D9" s="139">
        <f t="shared" si="0"/>
        <v>0.12249815335720461</v>
      </c>
    </row>
    <row r="10" spans="1:4">
      <c r="A10" s="272" t="s">
        <v>23</v>
      </c>
      <c r="B10" s="99"/>
      <c r="D10" s="139"/>
    </row>
    <row r="11" spans="1:4">
      <c r="A11" s="272" t="s">
        <v>4</v>
      </c>
      <c r="B11" s="62">
        <f>'PCS Facilities Exp - Proj FY14'!I64</f>
        <v>5419863</v>
      </c>
      <c r="D11" s="139">
        <f t="shared" si="0"/>
        <v>7.70353562344753E-2</v>
      </c>
    </row>
    <row r="12" spans="1:4">
      <c r="A12" s="272" t="s">
        <v>5</v>
      </c>
      <c r="B12" s="62">
        <f>'PCS Facilities Exp - Proj FY14'!J64</f>
        <v>2306277</v>
      </c>
      <c r="D12" s="139">
        <f t="shared" si="0"/>
        <v>3.27803249400173E-2</v>
      </c>
    </row>
    <row r="13" spans="1:4">
      <c r="A13" s="272" t="s">
        <v>21</v>
      </c>
      <c r="B13" s="62">
        <f>'PCS Facilities Exp - Proj FY14'!K64</f>
        <v>247277</v>
      </c>
      <c r="D13" s="139">
        <f t="shared" si="0"/>
        <v>3.5146777296017166E-3</v>
      </c>
    </row>
    <row r="14" spans="1:4">
      <c r="A14" s="272" t="s">
        <v>24</v>
      </c>
      <c r="B14" s="62">
        <f>'PCS Facilities Exp - Proj FY14'!L64</f>
        <v>4108522</v>
      </c>
      <c r="D14" s="139">
        <f t="shared" si="0"/>
        <v>5.839657863440071E-2</v>
      </c>
    </row>
    <row r="15" spans="1:4">
      <c r="A15" s="272" t="s">
        <v>31</v>
      </c>
      <c r="B15" s="62">
        <f>'PCS Facilities Exp - Proj FY14'!M64</f>
        <v>3010160</v>
      </c>
      <c r="D15" s="139">
        <f t="shared" si="0"/>
        <v>4.2784983296213976E-2</v>
      </c>
    </row>
    <row r="16" spans="1:4">
      <c r="A16" s="270" t="s">
        <v>6</v>
      </c>
      <c r="B16" s="78">
        <f>SUM(B3:B15)</f>
        <v>70355525.890000001</v>
      </c>
      <c r="D16" s="140"/>
    </row>
    <row r="17" spans="1:4">
      <c r="A17" s="272"/>
      <c r="B17" s="11"/>
      <c r="D17" s="11"/>
    </row>
    <row r="18" spans="1:4">
      <c r="A18" s="272"/>
      <c r="B18" s="11"/>
      <c r="D18" s="11"/>
    </row>
    <row r="19" spans="1:4" ht="48">
      <c r="A19" s="270" t="s">
        <v>7</v>
      </c>
      <c r="B19" s="11"/>
      <c r="D19" s="4" t="s">
        <v>613</v>
      </c>
    </row>
    <row r="20" spans="1:4">
      <c r="A20" s="271" t="s">
        <v>19</v>
      </c>
      <c r="B20" s="62">
        <f>'PCS Facilities Exp - Proj FY14'!P64</f>
        <v>3979137</v>
      </c>
      <c r="D20" s="139">
        <f>B20/$B$31</f>
        <v>8.1000107782413788E-2</v>
      </c>
    </row>
    <row r="21" spans="1:4">
      <c r="A21" s="271" t="s">
        <v>20</v>
      </c>
      <c r="B21" s="62">
        <f>'PCS Facilities Exp - Proj FY14'!Q64</f>
        <v>5238726</v>
      </c>
      <c r="D21" s="139">
        <f t="shared" ref="D21:D30" si="1">B21/$B$31</f>
        <v>0.10664055312559821</v>
      </c>
    </row>
    <row r="22" spans="1:4">
      <c r="A22" s="272" t="s">
        <v>2</v>
      </c>
      <c r="B22" s="62">
        <f>'PCS Facilities Exp - Proj FY14'!R64</f>
        <v>31800</v>
      </c>
      <c r="D22" s="139">
        <f t="shared" si="1"/>
        <v>6.4732715347090553E-4</v>
      </c>
    </row>
    <row r="23" spans="1:4">
      <c r="A23" s="272" t="s">
        <v>3</v>
      </c>
      <c r="B23" s="62">
        <f>'PCS Facilities Exp - Proj FY14'!S64</f>
        <v>612116</v>
      </c>
      <c r="D23" s="139">
        <f t="shared" si="1"/>
        <v>1.2460355593521913E-2</v>
      </c>
    </row>
    <row r="24" spans="1:4">
      <c r="A24" s="272" t="s">
        <v>25</v>
      </c>
      <c r="B24" s="62">
        <f>'PCS Facilities Exp - Proj FY14'!T64</f>
        <v>10539193</v>
      </c>
      <c r="D24" s="139">
        <f t="shared" si="1"/>
        <v>0.21453791838271991</v>
      </c>
    </row>
    <row r="25" spans="1:4">
      <c r="A25" s="272" t="s">
        <v>8</v>
      </c>
      <c r="B25" s="11"/>
      <c r="D25" s="139"/>
    </row>
    <row r="26" spans="1:4">
      <c r="A26" s="272" t="s">
        <v>4</v>
      </c>
      <c r="B26" s="62">
        <f>'PCS Facilities Exp - Proj FY14'!U64</f>
        <v>12605859</v>
      </c>
      <c r="D26" s="139">
        <f t="shared" si="1"/>
        <v>0.25660738438759734</v>
      </c>
    </row>
    <row r="27" spans="1:4">
      <c r="A27" s="272" t="s">
        <v>9</v>
      </c>
      <c r="B27" s="62">
        <f>'PCS Facilities Exp - Proj FY14'!V64</f>
        <v>6418406</v>
      </c>
      <c r="D27" s="139">
        <f t="shared" si="1"/>
        <v>0.13065435489938934</v>
      </c>
    </row>
    <row r="28" spans="1:4">
      <c r="A28" s="272" t="s">
        <v>10</v>
      </c>
      <c r="B28" s="62">
        <f>'PCS Facilities Exp - Proj FY14'!W64</f>
        <v>1456104</v>
      </c>
      <c r="D28" s="139">
        <f t="shared" si="1"/>
        <v>2.9640743945836462E-2</v>
      </c>
    </row>
    <row r="29" spans="1:4">
      <c r="A29" s="272" t="s">
        <v>26</v>
      </c>
      <c r="B29" s="62">
        <f>'PCS Facilities Exp - Proj FY14'!X64</f>
        <v>1168195</v>
      </c>
      <c r="D29" s="139">
        <f t="shared" si="1"/>
        <v>2.3780010819149197E-2</v>
      </c>
    </row>
    <row r="30" spans="1:4">
      <c r="A30" s="272" t="s">
        <v>31</v>
      </c>
      <c r="B30" s="62">
        <f>'PCS Facilities Exp - Proj FY14'!Y64</f>
        <v>7075546.7800000003</v>
      </c>
      <c r="D30" s="139">
        <f t="shared" si="1"/>
        <v>0.14403124391030289</v>
      </c>
    </row>
    <row r="31" spans="1:4">
      <c r="A31" s="270" t="s">
        <v>12</v>
      </c>
      <c r="B31" s="78">
        <f>SUM(B20:B30)</f>
        <v>49125082.780000001</v>
      </c>
      <c r="D31" s="78"/>
    </row>
    <row r="32" spans="1:4">
      <c r="A32" s="272"/>
      <c r="B32" s="11"/>
      <c r="D32" s="11"/>
    </row>
    <row r="33" spans="1:4">
      <c r="A33" s="272"/>
      <c r="B33" s="11"/>
      <c r="D33" s="11"/>
    </row>
    <row r="34" spans="1:4">
      <c r="A34" s="270" t="s">
        <v>13</v>
      </c>
      <c r="B34" s="78">
        <f>B31+B16</f>
        <v>119480608.67</v>
      </c>
      <c r="D34" s="78"/>
    </row>
    <row r="36" spans="1:4" ht="26" customHeight="1">
      <c r="A36" s="141" t="s">
        <v>139</v>
      </c>
      <c r="B36" s="137">
        <f>'PCS Facilities Exp - Proj FY14'!AD64</f>
        <v>31392</v>
      </c>
    </row>
    <row r="37" spans="1:4" s="151" customFormat="1">
      <c r="A37" s="273"/>
    </row>
    <row r="38" spans="1:4" ht="24">
      <c r="A38" s="274" t="s">
        <v>138</v>
      </c>
      <c r="B38" s="39">
        <f>+B34/B36</f>
        <v>3806.0846288863404</v>
      </c>
    </row>
    <row r="40" spans="1:4" hidden="1">
      <c r="A40" s="275" t="s">
        <v>15</v>
      </c>
    </row>
    <row r="41" spans="1:4" hidden="1">
      <c r="A41" s="276"/>
    </row>
    <row r="42" spans="1:4" ht="24" hidden="1">
      <c r="A42" s="275" t="s">
        <v>27</v>
      </c>
      <c r="B42" t="s">
        <v>35</v>
      </c>
    </row>
    <row r="43" spans="1:4" hidden="1">
      <c r="A43" s="276" t="s">
        <v>16</v>
      </c>
    </row>
    <row r="44" spans="1:4" hidden="1"/>
    <row r="45" spans="1:4" ht="24" hidden="1">
      <c r="A45" s="269" t="s">
        <v>17</v>
      </c>
      <c r="B45" s="7">
        <v>140</v>
      </c>
    </row>
    <row r="46" spans="1:4" hidden="1"/>
    <row r="47" spans="1:4" ht="24" hidden="1">
      <c r="A47" s="269" t="s">
        <v>18</v>
      </c>
      <c r="B47" s="93">
        <v>0</v>
      </c>
    </row>
    <row r="48" spans="1:4" hidden="1"/>
    <row r="49" spans="1:2" ht="24" hidden="1">
      <c r="A49" s="274" t="s">
        <v>29</v>
      </c>
      <c r="B49" s="27" t="e">
        <f>+B38*B45/B47</f>
        <v>#DIV/0!</v>
      </c>
    </row>
    <row r="50" spans="1:2" hidden="1"/>
    <row r="51" spans="1:2" ht="24" hidden="1">
      <c r="A51" s="274" t="s">
        <v>30</v>
      </c>
      <c r="B51" s="138" t="e">
        <f>+B34*B45/B47</f>
        <v>#DIV/0!</v>
      </c>
    </row>
    <row r="52" spans="1:2" hidden="1"/>
    <row r="53" spans="1:2" hidden="1">
      <c r="A53" s="277"/>
    </row>
    <row r="54" spans="1:2" hidden="1">
      <c r="A54" s="141" t="s">
        <v>142</v>
      </c>
      <c r="B54" s="9" t="e">
        <f>#REF!+#REF!</f>
        <v>#REF!</v>
      </c>
    </row>
    <row r="55" spans="1:2" hidden="1">
      <c r="A55" s="141" t="s">
        <v>141</v>
      </c>
      <c r="B55" s="9" t="e">
        <f>B54/B36</f>
        <v>#REF!</v>
      </c>
    </row>
    <row r="56" spans="1:2" hidden="1"/>
  </sheetData>
  <phoneticPr fontId="4" type="noConversion"/>
  <printOptions gridLines="1"/>
  <pageMargins left="0.25" right="0.25" top="1.22" bottom="0.5" header="0.59" footer="0.5"/>
  <pageSetup orientation="portrait" blackAndWhite="1"/>
  <headerFooter alignWithMargins="0">
    <oddHeader>&amp;C&amp;"Arial,Bold"&amp;K000000Exhibit A1&amp;"Arial,Regular": DC PUBLIC CHARTER SCHOOL_x000D_FACILITY COST TEMPLATE - FY14 FACILITIES EXPENDITURE PROJECTIONS (inclusive of utilities, maintenance and reserve requirements) as of December 31, 2013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2:D56"/>
  <sheetViews>
    <sheetView workbookViewId="0">
      <selection activeCell="I60" sqref="I60"/>
    </sheetView>
  </sheetViews>
  <sheetFormatPr baseColWidth="10" defaultColWidth="8.83203125" defaultRowHeight="12" x14ac:dyDescent="0"/>
  <cols>
    <col min="1" max="1" width="42.1640625" style="269" customWidth="1"/>
    <col min="2" max="2" width="16.83203125" style="195" customWidth="1"/>
    <col min="3" max="3" width="1.1640625" style="195" customWidth="1"/>
    <col min="4" max="4" width="12.33203125" style="195" customWidth="1"/>
    <col min="5" max="16384" width="8.83203125" style="195"/>
  </cols>
  <sheetData>
    <row r="2" spans="1:4" ht="48">
      <c r="A2" s="270" t="s">
        <v>0</v>
      </c>
      <c r="B2" s="4" t="s">
        <v>611</v>
      </c>
      <c r="D2" s="4" t="s">
        <v>612</v>
      </c>
    </row>
    <row r="3" spans="1:4">
      <c r="A3" s="271" t="s">
        <v>19</v>
      </c>
      <c r="B3" s="62">
        <v>0</v>
      </c>
      <c r="D3" s="139">
        <f>B3/$B$16</f>
        <v>0</v>
      </c>
    </row>
    <row r="4" spans="1:4">
      <c r="A4" s="271" t="s">
        <v>20</v>
      </c>
      <c r="B4" s="62">
        <v>0</v>
      </c>
      <c r="D4" s="139">
        <f t="shared" ref="D4:D15" si="0">B4/$B$16</f>
        <v>0</v>
      </c>
    </row>
    <row r="5" spans="1:4">
      <c r="A5" s="271" t="s">
        <v>1</v>
      </c>
      <c r="B5" s="62">
        <f>'PCS Facilities Exp - Proj FY14'!D64</f>
        <v>31997770.280000001</v>
      </c>
      <c r="D5" s="139">
        <f t="shared" si="0"/>
        <v>0.55655935734210227</v>
      </c>
    </row>
    <row r="6" spans="1:4">
      <c r="A6" s="272" t="s">
        <v>11</v>
      </c>
      <c r="B6" s="62">
        <f>'PCS Facilities Exp - Proj FY14'!E64</f>
        <v>968186</v>
      </c>
      <c r="D6" s="139">
        <f t="shared" si="0"/>
        <v>1.6840328973935639E-2</v>
      </c>
    </row>
    <row r="7" spans="1:4">
      <c r="A7" s="272" t="s">
        <v>2</v>
      </c>
      <c r="B7" s="62">
        <f>'PCS Facilities Exp - Proj FY14'!F64</f>
        <v>219546</v>
      </c>
      <c r="D7" s="139">
        <f t="shared" si="0"/>
        <v>3.8187154791658562E-3</v>
      </c>
    </row>
    <row r="8" spans="1:4">
      <c r="A8" s="272" t="s">
        <v>3</v>
      </c>
      <c r="B8" s="62">
        <f>'PCS Facilities Exp - Proj FY14'!G64</f>
        <v>596084</v>
      </c>
      <c r="D8" s="139">
        <f t="shared" si="0"/>
        <v>1.0368101435157553E-2</v>
      </c>
    </row>
    <row r="9" spans="1:4">
      <c r="A9" s="272" t="s">
        <v>22</v>
      </c>
      <c r="B9" s="62">
        <f>'PCS Facilities Exp - Proj FY14'!H64</f>
        <v>8618422</v>
      </c>
      <c r="D9" s="139">
        <f t="shared" si="0"/>
        <v>0.14990617682573837</v>
      </c>
    </row>
    <row r="10" spans="1:4">
      <c r="A10" s="272" t="s">
        <v>23</v>
      </c>
      <c r="B10" s="99"/>
      <c r="D10" s="139"/>
    </row>
    <row r="11" spans="1:4">
      <c r="A11" s="272" t="s">
        <v>4</v>
      </c>
      <c r="B11" s="62">
        <f>'PCS Facilities Exp - Proj FY14'!I64</f>
        <v>5419863</v>
      </c>
      <c r="D11" s="139">
        <f t="shared" si="0"/>
        <v>9.4271427095270671E-2</v>
      </c>
    </row>
    <row r="12" spans="1:4">
      <c r="A12" s="272" t="s">
        <v>5</v>
      </c>
      <c r="B12" s="62">
        <f>'PCS Facilities Exp - Proj FY14'!J64</f>
        <v>2306277</v>
      </c>
      <c r="D12" s="139">
        <f t="shared" si="0"/>
        <v>4.0114671545572196E-2</v>
      </c>
    </row>
    <row r="13" spans="1:4">
      <c r="A13" s="272" t="s">
        <v>21</v>
      </c>
      <c r="B13" s="62">
        <f>'PCS Facilities Exp - Proj FY14'!K64</f>
        <v>247277</v>
      </c>
      <c r="D13" s="139">
        <f t="shared" si="0"/>
        <v>4.3010599489022592E-3</v>
      </c>
    </row>
    <row r="14" spans="1:4">
      <c r="A14" s="272" t="s">
        <v>24</v>
      </c>
      <c r="B14" s="62">
        <f>'PCS Facilities Exp - Proj FY14'!L64</f>
        <v>4108522</v>
      </c>
      <c r="D14" s="139">
        <f t="shared" si="0"/>
        <v>7.1462365781628734E-2</v>
      </c>
    </row>
    <row r="15" spans="1:4">
      <c r="A15" s="272" t="s">
        <v>31</v>
      </c>
      <c r="B15" s="62">
        <f>'PCS Facilities Exp - Proj FY14'!M64</f>
        <v>3010160</v>
      </c>
      <c r="D15" s="139">
        <f t="shared" si="0"/>
        <v>5.2357795572526455E-2</v>
      </c>
    </row>
    <row r="16" spans="1:4">
      <c r="A16" s="270" t="s">
        <v>6</v>
      </c>
      <c r="B16" s="78">
        <f>SUM(B3:B15)</f>
        <v>57492107.280000001</v>
      </c>
      <c r="D16" s="140"/>
    </row>
    <row r="17" spans="1:4">
      <c r="A17" s="272"/>
      <c r="B17" s="11"/>
      <c r="D17" s="11"/>
    </row>
    <row r="18" spans="1:4">
      <c r="A18" s="272"/>
      <c r="B18" s="11"/>
      <c r="D18" s="11"/>
    </row>
    <row r="19" spans="1:4" ht="48">
      <c r="A19" s="270" t="s">
        <v>7</v>
      </c>
      <c r="B19" s="11"/>
      <c r="D19" s="4" t="s">
        <v>613</v>
      </c>
    </row>
    <row r="20" spans="1:4">
      <c r="A20" s="271" t="s">
        <v>19</v>
      </c>
      <c r="B20" s="62">
        <v>0</v>
      </c>
      <c r="D20" s="139">
        <f>B20/$B$31</f>
        <v>0</v>
      </c>
    </row>
    <row r="21" spans="1:4">
      <c r="A21" s="271" t="s">
        <v>20</v>
      </c>
      <c r="B21" s="62">
        <v>0</v>
      </c>
      <c r="D21" s="139">
        <f t="shared" ref="D21:D30" si="1">B21/$B$31</f>
        <v>0</v>
      </c>
    </row>
    <row r="22" spans="1:4">
      <c r="A22" s="272" t="s">
        <v>2</v>
      </c>
      <c r="B22" s="62">
        <f>'PCS Facilities Exp - Proj FY14'!R64</f>
        <v>31800</v>
      </c>
      <c r="D22" s="139">
        <f t="shared" si="1"/>
        <v>7.9684829400059997E-4</v>
      </c>
    </row>
    <row r="23" spans="1:4">
      <c r="A23" s="272" t="s">
        <v>3</v>
      </c>
      <c r="B23" s="62">
        <f>'PCS Facilities Exp - Proj FY14'!S64</f>
        <v>612116</v>
      </c>
      <c r="D23" s="139">
        <f t="shared" si="1"/>
        <v>1.5338477683348152E-2</v>
      </c>
    </row>
    <row r="24" spans="1:4">
      <c r="A24" s="272" t="s">
        <v>25</v>
      </c>
      <c r="B24" s="62">
        <f>'PCS Facilities Exp - Proj FY14'!T64</f>
        <v>10539193</v>
      </c>
      <c r="D24" s="139">
        <f t="shared" si="1"/>
        <v>0.26409238874820962</v>
      </c>
    </row>
    <row r="25" spans="1:4">
      <c r="A25" s="272" t="s">
        <v>8</v>
      </c>
      <c r="B25" s="11"/>
      <c r="D25" s="139"/>
    </row>
    <row r="26" spans="1:4">
      <c r="A26" s="272" t="s">
        <v>4</v>
      </c>
      <c r="B26" s="62">
        <f>'PCS Facilities Exp - Proj FY14'!U64</f>
        <v>12605859</v>
      </c>
      <c r="D26" s="139">
        <f t="shared" si="1"/>
        <v>0.31587915844534936</v>
      </c>
    </row>
    <row r="27" spans="1:4">
      <c r="A27" s="272" t="s">
        <v>9</v>
      </c>
      <c r="B27" s="62">
        <f>'PCS Facilities Exp - Proj FY14'!V64</f>
        <v>6418406</v>
      </c>
      <c r="D27" s="139">
        <f t="shared" si="1"/>
        <v>0.16083320350010111</v>
      </c>
    </row>
    <row r="28" spans="1:4">
      <c r="A28" s="272" t="s">
        <v>10</v>
      </c>
      <c r="B28" s="62">
        <f>'PCS Facilities Exp - Proj FY14'!W64</f>
        <v>1456104</v>
      </c>
      <c r="D28" s="139">
        <f t="shared" si="1"/>
        <v>3.6487232336083322E-2</v>
      </c>
    </row>
    <row r="29" spans="1:4">
      <c r="A29" s="272" t="s">
        <v>26</v>
      </c>
      <c r="B29" s="62">
        <f>'PCS Facilities Exp - Proj FY14'!X64</f>
        <v>1168195</v>
      </c>
      <c r="D29" s="139">
        <f t="shared" si="1"/>
        <v>2.9272773358806004E-2</v>
      </c>
    </row>
    <row r="30" spans="1:4">
      <c r="A30" s="272" t="s">
        <v>31</v>
      </c>
      <c r="B30" s="62">
        <f>'PCS Facilities Exp - Proj FY14'!Y64</f>
        <v>7075546.7800000003</v>
      </c>
      <c r="D30" s="139">
        <f t="shared" si="1"/>
        <v>0.17729991763410186</v>
      </c>
    </row>
    <row r="31" spans="1:4">
      <c r="A31" s="270" t="s">
        <v>12</v>
      </c>
      <c r="B31" s="78">
        <f>SUM(B20:B30)</f>
        <v>39907219.780000001</v>
      </c>
      <c r="D31" s="78"/>
    </row>
    <row r="32" spans="1:4">
      <c r="A32" s="272"/>
      <c r="B32" s="11"/>
      <c r="D32" s="11"/>
    </row>
    <row r="33" spans="1:4">
      <c r="A33" s="272"/>
      <c r="B33" s="11"/>
      <c r="D33" s="11"/>
    </row>
    <row r="34" spans="1:4">
      <c r="A34" s="270" t="s">
        <v>13</v>
      </c>
      <c r="B34" s="78">
        <f>B31+B16</f>
        <v>97399327.060000002</v>
      </c>
      <c r="D34" s="78"/>
    </row>
    <row r="36" spans="1:4" ht="21" customHeight="1">
      <c r="A36" s="141" t="s">
        <v>139</v>
      </c>
      <c r="B36" s="137">
        <f>'PCS Facilities Exp - Proj FY14'!AD64</f>
        <v>31392</v>
      </c>
    </row>
    <row r="37" spans="1:4" s="151" customFormat="1">
      <c r="A37" s="273"/>
    </row>
    <row r="38" spans="1:4" ht="24">
      <c r="A38" s="274" t="s">
        <v>138</v>
      </c>
      <c r="B38" s="39">
        <f>+B34/B36</f>
        <v>3102.679888506626</v>
      </c>
    </row>
    <row r="40" spans="1:4" hidden="1">
      <c r="A40" s="275" t="s">
        <v>15</v>
      </c>
    </row>
    <row r="41" spans="1:4" hidden="1">
      <c r="A41" s="276"/>
    </row>
    <row r="42" spans="1:4" ht="24" hidden="1">
      <c r="A42" s="275" t="s">
        <v>27</v>
      </c>
      <c r="B42" s="195" t="s">
        <v>35</v>
      </c>
    </row>
    <row r="43" spans="1:4" hidden="1">
      <c r="A43" s="276" t="s">
        <v>16</v>
      </c>
    </row>
    <row r="44" spans="1:4" hidden="1"/>
    <row r="45" spans="1:4" ht="24" hidden="1">
      <c r="A45" s="269" t="s">
        <v>17</v>
      </c>
      <c r="B45" s="7">
        <v>140</v>
      </c>
    </row>
    <row r="46" spans="1:4" hidden="1"/>
    <row r="47" spans="1:4" ht="24" hidden="1">
      <c r="A47" s="269" t="s">
        <v>18</v>
      </c>
      <c r="B47" s="93">
        <v>0</v>
      </c>
    </row>
    <row r="48" spans="1:4" hidden="1"/>
    <row r="49" spans="1:2" ht="24" hidden="1">
      <c r="A49" s="274" t="s">
        <v>29</v>
      </c>
      <c r="B49" s="27" t="e">
        <f>+B38*B45/B47</f>
        <v>#DIV/0!</v>
      </c>
    </row>
    <row r="50" spans="1:2" hidden="1"/>
    <row r="51" spans="1:2" ht="24" hidden="1">
      <c r="A51" s="274" t="s">
        <v>30</v>
      </c>
      <c r="B51" s="138" t="e">
        <f>+B34*B45/B47</f>
        <v>#DIV/0!</v>
      </c>
    </row>
    <row r="52" spans="1:2" hidden="1"/>
    <row r="53" spans="1:2" hidden="1">
      <c r="A53" s="277"/>
    </row>
    <row r="54" spans="1:2" hidden="1">
      <c r="A54" s="141" t="s">
        <v>142</v>
      </c>
      <c r="B54" s="9" t="e">
        <f>#REF!+#REF!</f>
        <v>#REF!</v>
      </c>
    </row>
    <row r="55" spans="1:2" hidden="1">
      <c r="A55" s="141" t="s">
        <v>141</v>
      </c>
      <c r="B55" s="9" t="e">
        <f>B54/B36</f>
        <v>#REF!</v>
      </c>
    </row>
    <row r="56" spans="1:2" hidden="1"/>
  </sheetData>
  <phoneticPr fontId="4" type="noConversion"/>
  <printOptions gridLines="1"/>
  <pageMargins left="0.25" right="0.25" top="1.22" bottom="0.5" header="0.59" footer="0.5"/>
  <pageSetup orientation="portrait" blackAndWhite="1"/>
  <headerFooter alignWithMargins="0">
    <oddHeader>&amp;C&amp;"Arial,Bold"&amp;K000000Exhibit A2&amp;"Arial,Regular": DC PUBLIC CHARTER SCHOOL_x000D_FACILITY COST TEMPLATE - FY14 FACILITIES EXPENDITURE PROJECTIONS (exclusive of utilities and maintenance; inclusive of reserve requirements) as of December 31, 2013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2:D56"/>
  <sheetViews>
    <sheetView tabSelected="1" topLeftCell="A3" workbookViewId="0">
      <selection activeCell="D36" sqref="D36"/>
    </sheetView>
  </sheetViews>
  <sheetFormatPr baseColWidth="10" defaultColWidth="8.83203125" defaultRowHeight="12" x14ac:dyDescent="0"/>
  <cols>
    <col min="1" max="1" width="42.1640625" style="269" customWidth="1"/>
    <col min="2" max="2" width="16.83203125" style="195" customWidth="1"/>
    <col min="3" max="3" width="1.1640625" style="195" customWidth="1"/>
    <col min="4" max="4" width="12.33203125" style="195" customWidth="1"/>
    <col min="5" max="16384" width="8.83203125" style="195"/>
  </cols>
  <sheetData>
    <row r="2" spans="1:4" ht="48">
      <c r="A2" s="270" t="s">
        <v>0</v>
      </c>
      <c r="B2" s="4" t="s">
        <v>611</v>
      </c>
      <c r="D2" s="4" t="s">
        <v>612</v>
      </c>
    </row>
    <row r="3" spans="1:4">
      <c r="A3" s="271" t="s">
        <v>19</v>
      </c>
      <c r="B3" s="62">
        <v>0</v>
      </c>
      <c r="D3" s="139">
        <f>B3/$B$16</f>
        <v>0</v>
      </c>
    </row>
    <row r="4" spans="1:4">
      <c r="A4" s="271" t="s">
        <v>20</v>
      </c>
      <c r="B4" s="62">
        <v>0</v>
      </c>
      <c r="D4" s="139">
        <f t="shared" ref="D4:D15" si="0">B4/$B$16</f>
        <v>0</v>
      </c>
    </row>
    <row r="5" spans="1:4">
      <c r="A5" s="271" t="s">
        <v>1</v>
      </c>
      <c r="B5" s="62">
        <f>'PCS Facilities Exp - Proj FY14'!D64</f>
        <v>31997770.280000001</v>
      </c>
      <c r="D5" s="139">
        <f t="shared" si="0"/>
        <v>0.58730959294742746</v>
      </c>
    </row>
    <row r="6" spans="1:4">
      <c r="A6" s="272" t="s">
        <v>11</v>
      </c>
      <c r="B6" s="62">
        <f>'PCS Facilities Exp - Proj FY14'!E64</f>
        <v>968186</v>
      </c>
      <c r="D6" s="139">
        <f t="shared" si="0"/>
        <v>1.7770767168511527E-2</v>
      </c>
    </row>
    <row r="7" spans="1:4">
      <c r="A7" s="272" t="s">
        <v>2</v>
      </c>
      <c r="B7" s="62">
        <f>'PCS Facilities Exp - Proj FY14'!F64</f>
        <v>219546</v>
      </c>
      <c r="D7" s="139">
        <f t="shared" si="0"/>
        <v>4.0297017812466118E-3</v>
      </c>
    </row>
    <row r="8" spans="1:4">
      <c r="A8" s="272" t="s">
        <v>3</v>
      </c>
      <c r="B8" s="62">
        <f>'PCS Facilities Exp - Proj FY14'!G64</f>
        <v>596084</v>
      </c>
      <c r="D8" s="139">
        <f t="shared" si="0"/>
        <v>1.0940945207713213E-2</v>
      </c>
    </row>
    <row r="9" spans="1:4">
      <c r="A9" s="272" t="s">
        <v>22</v>
      </c>
      <c r="B9" s="62">
        <f>'PCS Facilities Exp - Proj FY14'!H64</f>
        <v>8618422</v>
      </c>
      <c r="D9" s="139">
        <f t="shared" si="0"/>
        <v>0.15818858227858848</v>
      </c>
    </row>
    <row r="10" spans="1:4">
      <c r="A10" s="272" t="s">
        <v>23</v>
      </c>
      <c r="B10" s="99"/>
      <c r="D10" s="139"/>
    </row>
    <row r="11" spans="1:4">
      <c r="A11" s="272" t="s">
        <v>4</v>
      </c>
      <c r="B11" s="62">
        <f>'PCS Facilities Exp - Proj FY14'!I64</f>
        <v>5419863</v>
      </c>
      <c r="D11" s="139">
        <f t="shared" si="0"/>
        <v>9.9479979526899173E-2</v>
      </c>
    </row>
    <row r="12" spans="1:4">
      <c r="A12" s="272" t="s">
        <v>5</v>
      </c>
      <c r="B12" s="62">
        <f>'PCS Facilities Exp - Proj FY14'!J64</f>
        <v>2306277</v>
      </c>
      <c r="D12" s="139">
        <f t="shared" si="0"/>
        <v>4.2331031013765189E-2</v>
      </c>
    </row>
    <row r="13" spans="1:4">
      <c r="A13" s="272" t="s">
        <v>21</v>
      </c>
      <c r="B13" s="62">
        <f>'PCS Facilities Exp - Proj FY14'!K64</f>
        <v>247277</v>
      </c>
      <c r="D13" s="139">
        <f t="shared" si="0"/>
        <v>4.5386960698956865E-3</v>
      </c>
    </row>
    <row r="14" spans="1:4">
      <c r="A14" s="272" t="s">
        <v>24</v>
      </c>
      <c r="B14" s="62">
        <f>'PCS Facilities Exp - Proj FY14'!L64</f>
        <v>4108522</v>
      </c>
      <c r="D14" s="139">
        <f t="shared" si="0"/>
        <v>7.5410704005952706E-2</v>
      </c>
    </row>
    <row r="15" spans="1:4">
      <c r="A15" s="272" t="s">
        <v>31</v>
      </c>
      <c r="B15" s="62">
        <v>0</v>
      </c>
      <c r="D15" s="139">
        <f t="shared" si="0"/>
        <v>0</v>
      </c>
    </row>
    <row r="16" spans="1:4">
      <c r="A16" s="270" t="s">
        <v>6</v>
      </c>
      <c r="B16" s="78">
        <f>SUM(B3:B15)</f>
        <v>54481947.280000001</v>
      </c>
      <c r="D16" s="140"/>
    </row>
    <row r="17" spans="1:4">
      <c r="A17" s="272"/>
      <c r="B17" s="11"/>
      <c r="D17" s="11"/>
    </row>
    <row r="18" spans="1:4">
      <c r="A18" s="272"/>
      <c r="B18" s="11"/>
      <c r="D18" s="11"/>
    </row>
    <row r="19" spans="1:4" ht="48">
      <c r="A19" s="270" t="s">
        <v>7</v>
      </c>
      <c r="B19" s="11"/>
      <c r="D19" s="4" t="s">
        <v>613</v>
      </c>
    </row>
    <row r="20" spans="1:4">
      <c r="A20" s="271" t="s">
        <v>19</v>
      </c>
      <c r="B20" s="62">
        <v>0</v>
      </c>
      <c r="D20" s="139">
        <f>B20/$B$31</f>
        <v>0</v>
      </c>
    </row>
    <row r="21" spans="1:4">
      <c r="A21" s="271" t="s">
        <v>20</v>
      </c>
      <c r="B21" s="62">
        <v>0</v>
      </c>
      <c r="D21" s="139">
        <f t="shared" ref="D21:D30" si="1">B21/$B$31</f>
        <v>0</v>
      </c>
    </row>
    <row r="22" spans="1:4">
      <c r="A22" s="272" t="s">
        <v>2</v>
      </c>
      <c r="B22" s="62">
        <f>'PCS Facilities Exp - Proj FY14'!R64</f>
        <v>31800</v>
      </c>
      <c r="D22" s="139">
        <f t="shared" si="1"/>
        <v>9.6857689828964858E-4</v>
      </c>
    </row>
    <row r="23" spans="1:4">
      <c r="A23" s="272" t="s">
        <v>3</v>
      </c>
      <c r="B23" s="62">
        <f>'PCS Facilities Exp - Proj FY14'!S64</f>
        <v>612116</v>
      </c>
      <c r="D23" s="139">
        <f t="shared" si="1"/>
        <v>1.8644069706712785E-2</v>
      </c>
    </row>
    <row r="24" spans="1:4">
      <c r="A24" s="272" t="s">
        <v>25</v>
      </c>
      <c r="B24" s="62">
        <f>'PCS Facilities Exp - Proj FY14'!T64</f>
        <v>10539193</v>
      </c>
      <c r="D24" s="139">
        <f t="shared" si="1"/>
        <v>0.32100688259169735</v>
      </c>
    </row>
    <row r="25" spans="1:4">
      <c r="A25" s="272" t="s">
        <v>8</v>
      </c>
      <c r="B25" s="11"/>
      <c r="D25" s="139"/>
    </row>
    <row r="26" spans="1:4">
      <c r="A26" s="272" t="s">
        <v>4</v>
      </c>
      <c r="B26" s="62">
        <f>'PCS Facilities Exp - Proj FY14'!U64</f>
        <v>12605859</v>
      </c>
      <c r="D26" s="139">
        <f t="shared" si="1"/>
        <v>0.38395420787725315</v>
      </c>
    </row>
    <row r="27" spans="1:4">
      <c r="A27" s="272" t="s">
        <v>9</v>
      </c>
      <c r="B27" s="62">
        <f>'PCS Facilities Exp - Proj FY14'!V64</f>
        <v>6418406</v>
      </c>
      <c r="D27" s="139">
        <f t="shared" si="1"/>
        <v>0.1954943325611217</v>
      </c>
    </row>
    <row r="28" spans="1:4">
      <c r="A28" s="272" t="s">
        <v>10</v>
      </c>
      <c r="B28" s="62">
        <f>'PCS Facilities Exp - Proj FY14'!W64</f>
        <v>1456104</v>
      </c>
      <c r="D28" s="139">
        <f t="shared" si="1"/>
        <v>4.4350587921608502E-2</v>
      </c>
    </row>
    <row r="29" spans="1:4">
      <c r="A29" s="272" t="s">
        <v>26</v>
      </c>
      <c r="B29" s="62">
        <f>'PCS Facilities Exp - Proj FY14'!X64</f>
        <v>1168195</v>
      </c>
      <c r="D29" s="139">
        <f t="shared" si="1"/>
        <v>3.5581342443316857E-2</v>
      </c>
    </row>
    <row r="30" spans="1:4">
      <c r="A30" s="272" t="s">
        <v>31</v>
      </c>
      <c r="B30" s="62">
        <v>0</v>
      </c>
      <c r="D30" s="139">
        <f t="shared" si="1"/>
        <v>0</v>
      </c>
    </row>
    <row r="31" spans="1:4">
      <c r="A31" s="270" t="s">
        <v>12</v>
      </c>
      <c r="B31" s="78">
        <f>SUM(B20:B30)</f>
        <v>32831673</v>
      </c>
      <c r="D31" s="78"/>
    </row>
    <row r="32" spans="1:4">
      <c r="A32" s="272"/>
      <c r="B32" s="11"/>
      <c r="D32" s="11"/>
    </row>
    <row r="33" spans="1:4">
      <c r="A33" s="272"/>
      <c r="B33" s="11"/>
      <c r="D33" s="11"/>
    </row>
    <row r="34" spans="1:4">
      <c r="A34" s="270" t="s">
        <v>13</v>
      </c>
      <c r="B34" s="78">
        <f>B31+B16</f>
        <v>87313620.280000001</v>
      </c>
      <c r="D34" s="78"/>
    </row>
    <row r="36" spans="1:4" ht="21" customHeight="1">
      <c r="A36" s="141" t="s">
        <v>139</v>
      </c>
      <c r="B36" s="137">
        <f>'PCS Facilities Exp - Proj FY14'!AD64</f>
        <v>31392</v>
      </c>
    </row>
    <row r="37" spans="1:4" s="151" customFormat="1">
      <c r="A37" s="273"/>
    </row>
    <row r="38" spans="1:4" ht="24">
      <c r="A38" s="274" t="s">
        <v>138</v>
      </c>
      <c r="B38" s="39">
        <f>+B34/B36</f>
        <v>2781.3971801732928</v>
      </c>
    </row>
    <row r="40" spans="1:4" hidden="1">
      <c r="A40" s="275" t="s">
        <v>15</v>
      </c>
    </row>
    <row r="41" spans="1:4" hidden="1">
      <c r="A41" s="276"/>
    </row>
    <row r="42" spans="1:4" ht="24" hidden="1">
      <c r="A42" s="275" t="s">
        <v>27</v>
      </c>
      <c r="B42" s="195" t="s">
        <v>35</v>
      </c>
    </row>
    <row r="43" spans="1:4" hidden="1">
      <c r="A43" s="276" t="s">
        <v>16</v>
      </c>
    </row>
    <row r="44" spans="1:4" hidden="1"/>
    <row r="45" spans="1:4" ht="24" hidden="1">
      <c r="A45" s="269" t="s">
        <v>17</v>
      </c>
      <c r="B45" s="7">
        <v>140</v>
      </c>
    </row>
    <row r="46" spans="1:4" hidden="1"/>
    <row r="47" spans="1:4" ht="24" hidden="1">
      <c r="A47" s="269" t="s">
        <v>18</v>
      </c>
      <c r="B47" s="93">
        <v>0</v>
      </c>
    </row>
    <row r="48" spans="1:4" hidden="1"/>
    <row r="49" spans="1:2" ht="24" hidden="1">
      <c r="A49" s="274" t="s">
        <v>29</v>
      </c>
      <c r="B49" s="27" t="e">
        <f>+B38*B45/B47</f>
        <v>#DIV/0!</v>
      </c>
    </row>
    <row r="50" spans="1:2" hidden="1"/>
    <row r="51" spans="1:2" ht="24" hidden="1">
      <c r="A51" s="274" t="s">
        <v>30</v>
      </c>
      <c r="B51" s="138" t="e">
        <f>+B34*B45/B47</f>
        <v>#DIV/0!</v>
      </c>
    </row>
    <row r="52" spans="1:2" hidden="1"/>
    <row r="53" spans="1:2" hidden="1">
      <c r="A53" s="277"/>
    </row>
    <row r="54" spans="1:2" hidden="1">
      <c r="A54" s="141" t="s">
        <v>142</v>
      </c>
      <c r="B54" s="9" t="e">
        <f>#REF!+#REF!</f>
        <v>#REF!</v>
      </c>
    </row>
    <row r="55" spans="1:2" hidden="1">
      <c r="A55" s="141" t="s">
        <v>141</v>
      </c>
      <c r="B55" s="9" t="e">
        <f>B54/B36</f>
        <v>#REF!</v>
      </c>
    </row>
    <row r="56" spans="1:2" hidden="1"/>
  </sheetData>
  <phoneticPr fontId="4" type="noConversion"/>
  <printOptions gridLines="1"/>
  <pageMargins left="0.25" right="0.25" top="1.22" bottom="0.5" header="0.59" footer="0.5"/>
  <pageSetup orientation="portrait" blackAndWhite="1"/>
  <headerFooter alignWithMargins="0">
    <oddHeader>&amp;C&amp;"Arial,Bold"&amp;K000000Exhibit A3&amp;"Arial,Regular": DC PUBLIC CHARTER SCHOOL_x000D_FACILITY COST TEMPLATE - FY14 FACILITIES EXPENDITURE PROJECTIONS (exclusive of utilities, maintenance and reserve requirements) as of December 31, 2013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</sheetPr>
  <dimension ref="A1:F110"/>
  <sheetViews>
    <sheetView workbookViewId="0">
      <selection activeCell="B87" sqref="B87"/>
    </sheetView>
  </sheetViews>
  <sheetFormatPr baseColWidth="10" defaultColWidth="12.5" defaultRowHeight="12.75" customHeight="1" x14ac:dyDescent="0"/>
  <cols>
    <col min="1" max="1" width="50.5" style="240" customWidth="1"/>
    <col min="2" max="2" width="40.6640625" style="240" bestFit="1" customWidth="1"/>
    <col min="3" max="3" width="31.5" style="240" customWidth="1"/>
    <col min="4" max="4" width="9.1640625" style="240" customWidth="1"/>
    <col min="5" max="5" width="28" style="240" customWidth="1"/>
    <col min="6" max="16384" width="12.5" style="240"/>
  </cols>
  <sheetData>
    <row r="1" spans="1:5" ht="30">
      <c r="A1" s="258" t="s">
        <v>187</v>
      </c>
      <c r="B1" s="259" t="s">
        <v>188</v>
      </c>
      <c r="C1" s="258" t="s">
        <v>189</v>
      </c>
      <c r="D1" s="258" t="s">
        <v>190</v>
      </c>
      <c r="E1" s="258" t="s">
        <v>191</v>
      </c>
    </row>
    <row r="2" spans="1:5" s="243" customFormat="1" ht="14" customHeight="1">
      <c r="A2" s="241" t="s">
        <v>192</v>
      </c>
      <c r="B2" s="242" t="s">
        <v>193</v>
      </c>
      <c r="C2" s="243" t="s">
        <v>194</v>
      </c>
      <c r="D2" s="243" t="s">
        <v>195</v>
      </c>
      <c r="E2" s="243" t="s">
        <v>196</v>
      </c>
    </row>
    <row r="3" spans="1:5" ht="14" customHeight="1">
      <c r="A3" s="244" t="s">
        <v>197</v>
      </c>
      <c r="B3" s="242" t="s">
        <v>198</v>
      </c>
      <c r="C3" s="240" t="s">
        <v>199</v>
      </c>
      <c r="D3" s="240" t="s">
        <v>200</v>
      </c>
      <c r="E3" s="240" t="s">
        <v>201</v>
      </c>
    </row>
    <row r="4" spans="1:5" ht="14" customHeight="1">
      <c r="A4" s="244" t="s">
        <v>202</v>
      </c>
      <c r="B4" s="242" t="s">
        <v>203</v>
      </c>
      <c r="C4" s="240" t="s">
        <v>204</v>
      </c>
      <c r="D4" s="240" t="s">
        <v>200</v>
      </c>
      <c r="E4" s="240" t="s">
        <v>205</v>
      </c>
    </row>
    <row r="5" spans="1:5" ht="14" customHeight="1">
      <c r="A5" s="244" t="s">
        <v>206</v>
      </c>
      <c r="B5" s="245" t="s">
        <v>207</v>
      </c>
      <c r="C5" s="240" t="s">
        <v>204</v>
      </c>
      <c r="D5" s="240" t="s">
        <v>200</v>
      </c>
    </row>
    <row r="6" spans="1:5" s="247" customFormat="1" ht="14" customHeight="1">
      <c r="A6" s="246" t="s">
        <v>208</v>
      </c>
      <c r="B6" s="246" t="s">
        <v>209</v>
      </c>
      <c r="C6" s="247" t="s">
        <v>204</v>
      </c>
      <c r="D6" s="247" t="s">
        <v>210</v>
      </c>
      <c r="E6" s="247" t="s">
        <v>211</v>
      </c>
    </row>
    <row r="7" spans="1:5" s="247" customFormat="1" ht="14" customHeight="1">
      <c r="A7" s="246" t="s">
        <v>212</v>
      </c>
      <c r="B7" s="248" t="s">
        <v>213</v>
      </c>
      <c r="C7" s="243" t="s">
        <v>204</v>
      </c>
      <c r="D7" s="243" t="s">
        <v>210</v>
      </c>
      <c r="E7" s="243" t="s">
        <v>211</v>
      </c>
    </row>
    <row r="8" spans="1:5" s="247" customFormat="1" ht="14" customHeight="1">
      <c r="A8" s="246" t="s">
        <v>214</v>
      </c>
      <c r="B8" s="248" t="s">
        <v>215</v>
      </c>
      <c r="C8" s="243" t="s">
        <v>204</v>
      </c>
      <c r="D8" s="243" t="s">
        <v>216</v>
      </c>
      <c r="E8" s="243" t="s">
        <v>217</v>
      </c>
    </row>
    <row r="9" spans="1:5" s="247" customFormat="1" ht="14" customHeight="1">
      <c r="A9" s="246" t="s">
        <v>218</v>
      </c>
      <c r="B9" s="246" t="s">
        <v>219</v>
      </c>
      <c r="C9" s="247" t="s">
        <v>204</v>
      </c>
      <c r="D9" s="247" t="s">
        <v>216</v>
      </c>
      <c r="E9" s="247" t="s">
        <v>220</v>
      </c>
    </row>
    <row r="10" spans="1:5" ht="14" customHeight="1">
      <c r="A10" s="244" t="s">
        <v>221</v>
      </c>
      <c r="B10" s="245" t="s">
        <v>222</v>
      </c>
      <c r="C10" s="240" t="s">
        <v>223</v>
      </c>
      <c r="D10" s="240" t="s">
        <v>224</v>
      </c>
      <c r="E10" s="240" t="s">
        <v>225</v>
      </c>
    </row>
    <row r="11" spans="1:5" ht="14" customHeight="1">
      <c r="A11" s="241" t="s">
        <v>226</v>
      </c>
      <c r="B11" s="242" t="s">
        <v>227</v>
      </c>
      <c r="C11" s="243" t="s">
        <v>204</v>
      </c>
      <c r="D11" s="243" t="s">
        <v>200</v>
      </c>
      <c r="E11" s="243"/>
    </row>
    <row r="12" spans="1:5" ht="14" customHeight="1">
      <c r="A12" s="244" t="s">
        <v>228</v>
      </c>
      <c r="B12" s="245" t="s">
        <v>229</v>
      </c>
      <c r="C12" s="240" t="s">
        <v>204</v>
      </c>
      <c r="D12" s="240" t="s">
        <v>200</v>
      </c>
    </row>
    <row r="13" spans="1:5" ht="14" customHeight="1">
      <c r="A13" s="244" t="s">
        <v>230</v>
      </c>
      <c r="B13" s="245" t="s">
        <v>231</v>
      </c>
      <c r="C13" s="240" t="s">
        <v>204</v>
      </c>
      <c r="D13" s="240" t="s">
        <v>200</v>
      </c>
    </row>
    <row r="14" spans="1:5" ht="14" customHeight="1">
      <c r="A14" s="241" t="s">
        <v>232</v>
      </c>
      <c r="B14" s="243" t="s">
        <v>233</v>
      </c>
      <c r="C14" s="243" t="s">
        <v>234</v>
      </c>
      <c r="D14" s="243" t="s">
        <v>200</v>
      </c>
      <c r="E14" s="243"/>
    </row>
    <row r="15" spans="1:5" ht="14" customHeight="1">
      <c r="A15" s="244" t="s">
        <v>235</v>
      </c>
      <c r="B15" s="240" t="s">
        <v>236</v>
      </c>
      <c r="C15" s="240" t="s">
        <v>237</v>
      </c>
      <c r="D15" s="240" t="s">
        <v>200</v>
      </c>
      <c r="E15" s="240" t="s">
        <v>238</v>
      </c>
    </row>
    <row r="16" spans="1:5" s="243" customFormat="1" ht="14" customHeight="1">
      <c r="A16" s="241" t="s">
        <v>239</v>
      </c>
      <c r="B16" s="243" t="s">
        <v>240</v>
      </c>
      <c r="C16" s="243" t="s">
        <v>204</v>
      </c>
      <c r="D16" s="243" t="s">
        <v>195</v>
      </c>
      <c r="E16" s="243" t="s">
        <v>241</v>
      </c>
    </row>
    <row r="17" spans="1:5" s="243" customFormat="1" ht="14" customHeight="1">
      <c r="A17" s="241" t="s">
        <v>242</v>
      </c>
      <c r="B17" s="243" t="s">
        <v>243</v>
      </c>
      <c r="C17" s="243" t="s">
        <v>204</v>
      </c>
      <c r="D17" s="243" t="s">
        <v>195</v>
      </c>
      <c r="E17" s="243" t="s">
        <v>241</v>
      </c>
    </row>
    <row r="18" spans="1:5" s="243" customFormat="1" ht="14" customHeight="1">
      <c r="A18" s="241" t="s">
        <v>244</v>
      </c>
      <c r="B18" s="243" t="s">
        <v>245</v>
      </c>
      <c r="C18" s="243" t="s">
        <v>204</v>
      </c>
      <c r="D18" s="243" t="s">
        <v>195</v>
      </c>
      <c r="E18" s="243" t="s">
        <v>241</v>
      </c>
    </row>
    <row r="19" spans="1:5" s="243" customFormat="1" ht="14" customHeight="1">
      <c r="A19" s="241" t="s">
        <v>246</v>
      </c>
      <c r="B19" s="243" t="s">
        <v>247</v>
      </c>
      <c r="C19" s="243" t="s">
        <v>204</v>
      </c>
      <c r="D19" s="243" t="s">
        <v>195</v>
      </c>
      <c r="E19" s="243" t="s">
        <v>248</v>
      </c>
    </row>
    <row r="20" spans="1:5" s="243" customFormat="1" ht="14" customHeight="1">
      <c r="A20" s="241" t="s">
        <v>249</v>
      </c>
      <c r="B20" s="243" t="s">
        <v>250</v>
      </c>
      <c r="C20" s="243" t="s">
        <v>204</v>
      </c>
      <c r="D20" s="243" t="s">
        <v>195</v>
      </c>
      <c r="E20" s="243" t="s">
        <v>241</v>
      </c>
    </row>
    <row r="21" spans="1:5" s="243" customFormat="1" ht="14" customHeight="1">
      <c r="A21" s="241" t="s">
        <v>251</v>
      </c>
      <c r="B21" s="243" t="s">
        <v>252</v>
      </c>
      <c r="C21" s="243" t="s">
        <v>204</v>
      </c>
      <c r="D21" s="243" t="s">
        <v>195</v>
      </c>
      <c r="E21" s="243" t="s">
        <v>241</v>
      </c>
    </row>
    <row r="22" spans="1:5" ht="14" customHeight="1">
      <c r="A22" s="244" t="s">
        <v>253</v>
      </c>
      <c r="B22" s="245" t="s">
        <v>254</v>
      </c>
      <c r="C22" s="243" t="s">
        <v>204</v>
      </c>
      <c r="D22" s="240" t="s">
        <v>200</v>
      </c>
    </row>
    <row r="23" spans="1:5" ht="14" customHeight="1">
      <c r="A23" s="244" t="s">
        <v>255</v>
      </c>
      <c r="B23" s="245" t="s">
        <v>256</v>
      </c>
      <c r="C23" s="240" t="s">
        <v>204</v>
      </c>
      <c r="D23" s="240" t="s">
        <v>224</v>
      </c>
      <c r="E23" s="240" t="s">
        <v>257</v>
      </c>
    </row>
    <row r="24" spans="1:5" s="247" customFormat="1" ht="14" customHeight="1">
      <c r="A24" s="249" t="s">
        <v>258</v>
      </c>
      <c r="B24" s="246" t="s">
        <v>259</v>
      </c>
      <c r="C24" s="247" t="s">
        <v>260</v>
      </c>
      <c r="D24" s="247" t="s">
        <v>216</v>
      </c>
      <c r="E24" s="247" t="s">
        <v>261</v>
      </c>
    </row>
    <row r="25" spans="1:5" ht="14" customHeight="1">
      <c r="A25" s="244" t="s">
        <v>262</v>
      </c>
      <c r="B25" s="245" t="s">
        <v>263</v>
      </c>
      <c r="C25" s="240" t="s">
        <v>264</v>
      </c>
      <c r="D25" s="240" t="s">
        <v>200</v>
      </c>
      <c r="E25" s="240" t="s">
        <v>225</v>
      </c>
    </row>
    <row r="26" spans="1:5" ht="14" customHeight="1">
      <c r="A26" s="244" t="s">
        <v>265</v>
      </c>
      <c r="B26" s="245" t="s">
        <v>266</v>
      </c>
      <c r="C26" s="240" t="s">
        <v>267</v>
      </c>
      <c r="D26" s="240" t="s">
        <v>200</v>
      </c>
      <c r="E26" s="250" t="s">
        <v>225</v>
      </c>
    </row>
    <row r="27" spans="1:5" ht="14" customHeight="1">
      <c r="A27" s="244" t="s">
        <v>268</v>
      </c>
      <c r="B27" s="245" t="s">
        <v>269</v>
      </c>
      <c r="C27" s="240" t="s">
        <v>270</v>
      </c>
      <c r="D27" s="251"/>
      <c r="E27" s="240" t="s">
        <v>225</v>
      </c>
    </row>
    <row r="28" spans="1:5" ht="14" customHeight="1">
      <c r="A28" s="244" t="s">
        <v>271</v>
      </c>
      <c r="B28" s="245" t="s">
        <v>272</v>
      </c>
      <c r="C28" s="240" t="s">
        <v>204</v>
      </c>
      <c r="D28" s="240" t="s">
        <v>200</v>
      </c>
      <c r="E28" s="240" t="s">
        <v>273</v>
      </c>
    </row>
    <row r="29" spans="1:5" ht="14" customHeight="1">
      <c r="A29" s="244" t="s">
        <v>274</v>
      </c>
      <c r="C29" s="240" t="s">
        <v>275</v>
      </c>
      <c r="D29" s="240" t="s">
        <v>275</v>
      </c>
      <c r="E29" s="240" t="s">
        <v>276</v>
      </c>
    </row>
    <row r="30" spans="1:5" s="251" customFormat="1" ht="14" customHeight="1">
      <c r="A30" s="252" t="s">
        <v>617</v>
      </c>
    </row>
    <row r="31" spans="1:5" ht="14" customHeight="1">
      <c r="A31" s="241" t="s">
        <v>277</v>
      </c>
      <c r="B31" s="243" t="s">
        <v>278</v>
      </c>
      <c r="C31" s="243" t="s">
        <v>204</v>
      </c>
      <c r="D31" s="243" t="s">
        <v>200</v>
      </c>
      <c r="E31" s="243"/>
    </row>
    <row r="32" spans="1:5" ht="14" customHeight="1">
      <c r="A32" s="241" t="s">
        <v>279</v>
      </c>
      <c r="B32" s="245" t="s">
        <v>280</v>
      </c>
      <c r="C32" s="240" t="s">
        <v>204</v>
      </c>
      <c r="D32" s="240" t="s">
        <v>195</v>
      </c>
      <c r="E32" s="240" t="s">
        <v>281</v>
      </c>
    </row>
    <row r="33" spans="1:5" ht="14" customHeight="1">
      <c r="A33" s="244" t="s">
        <v>282</v>
      </c>
      <c r="B33" s="240" t="s">
        <v>283</v>
      </c>
      <c r="C33" s="240" t="s">
        <v>204</v>
      </c>
      <c r="D33" s="240" t="s">
        <v>224</v>
      </c>
      <c r="E33" s="240" t="s">
        <v>284</v>
      </c>
    </row>
    <row r="34" spans="1:5" ht="14" customHeight="1">
      <c r="A34" s="240" t="s">
        <v>285</v>
      </c>
      <c r="B34" s="245" t="s">
        <v>286</v>
      </c>
      <c r="C34" s="240" t="s">
        <v>204</v>
      </c>
      <c r="D34" s="240" t="s">
        <v>224</v>
      </c>
      <c r="E34" s="240" t="s">
        <v>284</v>
      </c>
    </row>
    <row r="35" spans="1:5" s="243" customFormat="1" ht="14" customHeight="1">
      <c r="A35" s="243" t="s">
        <v>287</v>
      </c>
      <c r="B35" s="242" t="s">
        <v>288</v>
      </c>
      <c r="C35" s="243" t="s">
        <v>289</v>
      </c>
      <c r="D35" s="243" t="s">
        <v>195</v>
      </c>
      <c r="E35" s="243" t="s">
        <v>196</v>
      </c>
    </row>
    <row r="36" spans="1:5" s="243" customFormat="1" ht="14" customHeight="1">
      <c r="A36" s="243" t="s">
        <v>290</v>
      </c>
      <c r="B36" s="242" t="s">
        <v>291</v>
      </c>
      <c r="C36" s="243" t="s">
        <v>292</v>
      </c>
      <c r="D36" s="243" t="s">
        <v>200</v>
      </c>
    </row>
    <row r="37" spans="1:5" s="243" customFormat="1" ht="14" customHeight="1">
      <c r="A37" s="253" t="s">
        <v>293</v>
      </c>
      <c r="B37" s="253" t="s">
        <v>294</v>
      </c>
      <c r="C37" s="243" t="s">
        <v>204</v>
      </c>
      <c r="D37" s="243" t="s">
        <v>295</v>
      </c>
      <c r="E37" s="243" t="s">
        <v>257</v>
      </c>
    </row>
    <row r="38" spans="1:5" s="243" customFormat="1" ht="14" customHeight="1">
      <c r="A38" s="253" t="s">
        <v>296</v>
      </c>
      <c r="B38" s="253" t="s">
        <v>297</v>
      </c>
      <c r="C38" s="247" t="s">
        <v>298</v>
      </c>
      <c r="D38" s="247" t="s">
        <v>216</v>
      </c>
      <c r="E38" s="247" t="s">
        <v>299</v>
      </c>
    </row>
    <row r="39" spans="1:5" s="243" customFormat="1" ht="14" customHeight="1">
      <c r="A39" s="248" t="s">
        <v>300</v>
      </c>
      <c r="B39" s="248" t="s">
        <v>301</v>
      </c>
      <c r="C39" s="243" t="s">
        <v>302</v>
      </c>
      <c r="D39" s="251" t="s">
        <v>200</v>
      </c>
    </row>
    <row r="40" spans="1:5" ht="14" customHeight="1">
      <c r="A40" s="253" t="s">
        <v>303</v>
      </c>
      <c r="B40" s="253" t="s">
        <v>304</v>
      </c>
      <c r="C40" s="247" t="s">
        <v>204</v>
      </c>
      <c r="D40" s="247" t="s">
        <v>216</v>
      </c>
      <c r="E40" s="247" t="s">
        <v>305</v>
      </c>
    </row>
    <row r="41" spans="1:5" ht="14" customHeight="1">
      <c r="A41" s="244" t="s">
        <v>306</v>
      </c>
      <c r="B41" s="245" t="s">
        <v>307</v>
      </c>
      <c r="C41" s="240" t="s">
        <v>204</v>
      </c>
      <c r="D41" s="240" t="s">
        <v>200</v>
      </c>
      <c r="E41" s="240" t="s">
        <v>273</v>
      </c>
    </row>
    <row r="42" spans="1:5" s="243" customFormat="1" ht="14" customHeight="1">
      <c r="A42" s="241" t="s">
        <v>306</v>
      </c>
      <c r="B42" s="242" t="s">
        <v>308</v>
      </c>
      <c r="C42" s="243" t="s">
        <v>309</v>
      </c>
      <c r="D42" s="243" t="s">
        <v>195</v>
      </c>
      <c r="E42" s="243" t="s">
        <v>310</v>
      </c>
    </row>
    <row r="43" spans="1:5" s="247" customFormat="1" ht="14" customHeight="1">
      <c r="A43" s="246" t="s">
        <v>311</v>
      </c>
      <c r="B43" s="246" t="s">
        <v>312</v>
      </c>
      <c r="C43" s="247" t="s">
        <v>204</v>
      </c>
      <c r="D43" s="247" t="s">
        <v>216</v>
      </c>
      <c r="E43" s="247" t="s">
        <v>305</v>
      </c>
    </row>
    <row r="44" spans="1:5" s="243" customFormat="1" ht="14" customHeight="1">
      <c r="A44" s="248" t="s">
        <v>311</v>
      </c>
      <c r="B44" s="248" t="s">
        <v>313</v>
      </c>
      <c r="C44" s="243" t="s">
        <v>204</v>
      </c>
      <c r="D44" s="243" t="s">
        <v>216</v>
      </c>
    </row>
    <row r="45" spans="1:5" s="243" customFormat="1" ht="14" customHeight="1">
      <c r="A45" s="248" t="s">
        <v>311</v>
      </c>
      <c r="B45" s="248" t="s">
        <v>314</v>
      </c>
      <c r="C45" s="243" t="s">
        <v>204</v>
      </c>
      <c r="D45" s="243" t="s">
        <v>216</v>
      </c>
    </row>
    <row r="46" spans="1:5" s="243" customFormat="1" ht="14" customHeight="1">
      <c r="A46" s="241" t="s">
        <v>315</v>
      </c>
      <c r="B46" s="243" t="s">
        <v>316</v>
      </c>
      <c r="C46" s="243" t="s">
        <v>204</v>
      </c>
      <c r="D46" s="243" t="s">
        <v>295</v>
      </c>
      <c r="E46" s="243" t="s">
        <v>317</v>
      </c>
    </row>
    <row r="47" spans="1:5" s="247" customFormat="1" ht="14" customHeight="1">
      <c r="A47" s="249" t="s">
        <v>318</v>
      </c>
      <c r="B47" s="247" t="s">
        <v>319</v>
      </c>
      <c r="C47" s="247" t="s">
        <v>320</v>
      </c>
      <c r="D47" s="247" t="s">
        <v>216</v>
      </c>
      <c r="E47" s="247" t="s">
        <v>321</v>
      </c>
    </row>
    <row r="48" spans="1:5" ht="14" customHeight="1">
      <c r="A48" s="244" t="s">
        <v>322</v>
      </c>
      <c r="B48" s="242" t="s">
        <v>323</v>
      </c>
      <c r="C48" s="243" t="s">
        <v>324</v>
      </c>
      <c r="D48" s="243" t="s">
        <v>224</v>
      </c>
      <c r="E48" s="254" t="s">
        <v>225</v>
      </c>
    </row>
    <row r="49" spans="1:5" ht="14" customHeight="1">
      <c r="A49" s="244" t="s">
        <v>325</v>
      </c>
      <c r="B49" s="242" t="s">
        <v>326</v>
      </c>
      <c r="C49" s="243" t="s">
        <v>327</v>
      </c>
      <c r="D49" s="243" t="s">
        <v>224</v>
      </c>
      <c r="E49" s="254" t="s">
        <v>225</v>
      </c>
    </row>
    <row r="50" spans="1:5" ht="14" customHeight="1">
      <c r="A50" s="244" t="s">
        <v>328</v>
      </c>
      <c r="B50" s="242" t="s">
        <v>329</v>
      </c>
      <c r="C50" s="243" t="s">
        <v>330</v>
      </c>
      <c r="D50" s="243" t="s">
        <v>200</v>
      </c>
      <c r="E50" s="254" t="s">
        <v>225</v>
      </c>
    </row>
    <row r="51" spans="1:5" ht="14" customHeight="1">
      <c r="A51" s="244" t="s">
        <v>331</v>
      </c>
      <c r="B51" s="243" t="s">
        <v>332</v>
      </c>
      <c r="C51" s="243" t="s">
        <v>204</v>
      </c>
      <c r="D51" s="243" t="s">
        <v>200</v>
      </c>
      <c r="E51" s="243"/>
    </row>
    <row r="52" spans="1:5" ht="14" customHeight="1">
      <c r="A52" s="253" t="s">
        <v>333</v>
      </c>
      <c r="B52" s="253" t="s">
        <v>334</v>
      </c>
      <c r="C52" s="243" t="s">
        <v>204</v>
      </c>
      <c r="D52" s="243" t="s">
        <v>224</v>
      </c>
      <c r="E52" s="243"/>
    </row>
    <row r="53" spans="1:5" ht="14" customHeight="1">
      <c r="A53" s="244" t="s">
        <v>335</v>
      </c>
      <c r="B53" s="243" t="s">
        <v>336</v>
      </c>
      <c r="C53" s="243" t="s">
        <v>337</v>
      </c>
      <c r="D53" s="243" t="s">
        <v>224</v>
      </c>
      <c r="E53" s="254" t="s">
        <v>225</v>
      </c>
    </row>
    <row r="54" spans="1:5" ht="14" customHeight="1">
      <c r="A54" s="244" t="s">
        <v>338</v>
      </c>
      <c r="B54" s="245" t="s">
        <v>339</v>
      </c>
      <c r="C54" s="240" t="s">
        <v>204</v>
      </c>
      <c r="D54" s="240" t="s">
        <v>200</v>
      </c>
    </row>
    <row r="55" spans="1:5" ht="14" customHeight="1">
      <c r="A55" s="244" t="s">
        <v>340</v>
      </c>
      <c r="B55" s="245" t="s">
        <v>341</v>
      </c>
      <c r="C55" s="240" t="s">
        <v>204</v>
      </c>
      <c r="D55" s="240" t="s">
        <v>200</v>
      </c>
      <c r="E55" s="240" t="s">
        <v>284</v>
      </c>
    </row>
    <row r="56" spans="1:5" ht="14" customHeight="1">
      <c r="A56" s="244" t="s">
        <v>342</v>
      </c>
      <c r="B56" s="245" t="s">
        <v>343</v>
      </c>
      <c r="C56" s="240" t="s">
        <v>344</v>
      </c>
      <c r="D56" s="251" t="s">
        <v>200</v>
      </c>
      <c r="E56" s="240" t="s">
        <v>321</v>
      </c>
    </row>
    <row r="57" spans="1:5" s="251" customFormat="1" ht="14" customHeight="1">
      <c r="A57" s="252" t="s">
        <v>345</v>
      </c>
      <c r="B57" s="256" t="s">
        <v>346</v>
      </c>
      <c r="C57" s="251" t="s">
        <v>309</v>
      </c>
      <c r="D57" s="251" t="s">
        <v>200</v>
      </c>
    </row>
    <row r="58" spans="1:5" s="251" customFormat="1" ht="14" customHeight="1">
      <c r="A58" s="260" t="s">
        <v>347</v>
      </c>
      <c r="B58" s="260" t="s">
        <v>348</v>
      </c>
      <c r="D58" s="251" t="s">
        <v>224</v>
      </c>
    </row>
    <row r="59" spans="1:5" ht="14" customHeight="1">
      <c r="A59" s="244" t="s">
        <v>349</v>
      </c>
      <c r="B59" s="245" t="s">
        <v>350</v>
      </c>
      <c r="C59" s="240" t="s">
        <v>204</v>
      </c>
      <c r="D59" s="240" t="s">
        <v>224</v>
      </c>
    </row>
    <row r="60" spans="1:5" ht="14" customHeight="1">
      <c r="A60" s="244" t="s">
        <v>351</v>
      </c>
      <c r="B60" s="245" t="s">
        <v>352</v>
      </c>
      <c r="C60" s="240" t="s">
        <v>204</v>
      </c>
      <c r="D60" s="240" t="s">
        <v>200</v>
      </c>
    </row>
    <row r="61" spans="1:5" ht="14" customHeight="1">
      <c r="A61" s="253" t="s">
        <v>100</v>
      </c>
      <c r="B61" s="253" t="s">
        <v>353</v>
      </c>
      <c r="C61" s="247" t="s">
        <v>354</v>
      </c>
      <c r="D61" s="247" t="s">
        <v>355</v>
      </c>
      <c r="E61" s="247" t="s">
        <v>261</v>
      </c>
    </row>
    <row r="62" spans="1:5" ht="14" customHeight="1">
      <c r="A62" s="244" t="s">
        <v>356</v>
      </c>
      <c r="B62" s="240" t="s">
        <v>357</v>
      </c>
      <c r="C62" s="243" t="s">
        <v>204</v>
      </c>
      <c r="D62" s="240" t="s">
        <v>224</v>
      </c>
      <c r="E62" s="243"/>
    </row>
    <row r="63" spans="1:5" s="247" customFormat="1" ht="14" customHeight="1">
      <c r="A63" s="246" t="s">
        <v>358</v>
      </c>
      <c r="B63" s="246" t="s">
        <v>359</v>
      </c>
      <c r="C63" s="247" t="s">
        <v>204</v>
      </c>
      <c r="D63" s="247" t="s">
        <v>216</v>
      </c>
    </row>
    <row r="64" spans="1:5" s="251" customFormat="1" ht="14" customHeight="1">
      <c r="A64" s="260" t="s">
        <v>618</v>
      </c>
      <c r="B64" s="260"/>
    </row>
    <row r="65" spans="1:5" s="247" customFormat="1" ht="14" customHeight="1">
      <c r="A65" s="246" t="s">
        <v>360</v>
      </c>
      <c r="B65" s="246" t="s">
        <v>361</v>
      </c>
      <c r="C65" s="247" t="s">
        <v>204</v>
      </c>
      <c r="D65" s="247" t="s">
        <v>200</v>
      </c>
    </row>
    <row r="66" spans="1:5" ht="14" customHeight="1">
      <c r="A66" s="241" t="s">
        <v>362</v>
      </c>
      <c r="B66" s="240" t="s">
        <v>363</v>
      </c>
      <c r="C66" s="243" t="s">
        <v>309</v>
      </c>
      <c r="D66" s="240" t="s">
        <v>295</v>
      </c>
      <c r="E66" s="240" t="s">
        <v>257</v>
      </c>
    </row>
    <row r="67" spans="1:5" ht="14" customHeight="1">
      <c r="A67" s="253" t="s">
        <v>364</v>
      </c>
      <c r="B67" s="240" t="s">
        <v>363</v>
      </c>
      <c r="C67" s="243" t="s">
        <v>309</v>
      </c>
      <c r="D67" s="240" t="s">
        <v>295</v>
      </c>
      <c r="E67" s="240" t="s">
        <v>257</v>
      </c>
    </row>
    <row r="68" spans="1:5" ht="14" customHeight="1">
      <c r="A68" s="244" t="s">
        <v>365</v>
      </c>
      <c r="B68" s="240" t="s">
        <v>366</v>
      </c>
      <c r="C68" s="247" t="s">
        <v>367</v>
      </c>
      <c r="D68" s="240" t="s">
        <v>200</v>
      </c>
      <c r="E68" s="240" t="s">
        <v>201</v>
      </c>
    </row>
    <row r="69" spans="1:5" ht="14" customHeight="1">
      <c r="A69" s="253" t="s">
        <v>368</v>
      </c>
      <c r="B69" s="240" t="s">
        <v>366</v>
      </c>
      <c r="C69" s="247" t="s">
        <v>367</v>
      </c>
      <c r="D69" s="240" t="s">
        <v>200</v>
      </c>
      <c r="E69" s="240" t="s">
        <v>201</v>
      </c>
    </row>
    <row r="70" spans="1:5" ht="14" customHeight="1">
      <c r="A70" s="253" t="s">
        <v>369</v>
      </c>
      <c r="B70" s="240" t="s">
        <v>366</v>
      </c>
      <c r="C70" s="247" t="s">
        <v>367</v>
      </c>
      <c r="D70" s="240" t="s">
        <v>200</v>
      </c>
      <c r="E70" s="240" t="s">
        <v>201</v>
      </c>
    </row>
    <row r="71" spans="1:5" ht="14" customHeight="1">
      <c r="A71" s="253" t="s">
        <v>370</v>
      </c>
      <c r="B71" s="240" t="s">
        <v>366</v>
      </c>
      <c r="C71" s="247" t="s">
        <v>367</v>
      </c>
      <c r="D71" s="240" t="s">
        <v>200</v>
      </c>
      <c r="E71" s="240" t="s">
        <v>201</v>
      </c>
    </row>
    <row r="72" spans="1:5" ht="14" customHeight="1">
      <c r="A72" s="244" t="s">
        <v>371</v>
      </c>
      <c r="B72" s="240" t="s">
        <v>372</v>
      </c>
      <c r="C72" s="240" t="s">
        <v>373</v>
      </c>
      <c r="D72" s="240" t="s">
        <v>200</v>
      </c>
      <c r="E72" s="240" t="s">
        <v>201</v>
      </c>
    </row>
    <row r="73" spans="1:5" ht="14" customHeight="1">
      <c r="A73" s="253" t="s">
        <v>374</v>
      </c>
      <c r="B73" s="240" t="s">
        <v>372</v>
      </c>
      <c r="C73" s="240" t="s">
        <v>373</v>
      </c>
      <c r="D73" s="240" t="s">
        <v>200</v>
      </c>
      <c r="E73" s="240" t="s">
        <v>201</v>
      </c>
    </row>
    <row r="74" spans="1:5" ht="14" customHeight="1">
      <c r="A74" s="253" t="s">
        <v>375</v>
      </c>
      <c r="B74" s="240" t="s">
        <v>372</v>
      </c>
      <c r="C74" s="240" t="s">
        <v>373</v>
      </c>
      <c r="D74" s="240" t="s">
        <v>200</v>
      </c>
      <c r="E74" s="240" t="s">
        <v>201</v>
      </c>
    </row>
    <row r="75" spans="1:5" ht="14" customHeight="1">
      <c r="A75" s="241" t="s">
        <v>376</v>
      </c>
      <c r="B75" s="245" t="s">
        <v>363</v>
      </c>
      <c r="C75" s="243" t="s">
        <v>309</v>
      </c>
      <c r="D75" s="240" t="s">
        <v>295</v>
      </c>
      <c r="E75" s="240" t="s">
        <v>257</v>
      </c>
    </row>
    <row r="76" spans="1:5" ht="14" customHeight="1">
      <c r="A76" s="252" t="s">
        <v>447</v>
      </c>
      <c r="B76" s="245"/>
      <c r="C76" s="243"/>
    </row>
    <row r="77" spans="1:5" ht="14" customHeight="1">
      <c r="A77" s="252" t="s">
        <v>448</v>
      </c>
      <c r="B77" s="245"/>
      <c r="C77" s="243"/>
    </row>
    <row r="78" spans="1:5" ht="14" customHeight="1">
      <c r="A78" s="241" t="s">
        <v>377</v>
      </c>
      <c r="B78" s="242" t="s">
        <v>378</v>
      </c>
      <c r="C78" s="240" t="s">
        <v>204</v>
      </c>
      <c r="D78" s="240" t="s">
        <v>200</v>
      </c>
      <c r="E78" s="240" t="s">
        <v>379</v>
      </c>
    </row>
    <row r="79" spans="1:5" s="243" customFormat="1" ht="14" customHeight="1">
      <c r="A79" s="241" t="s">
        <v>377</v>
      </c>
      <c r="B79" s="242" t="s">
        <v>380</v>
      </c>
      <c r="C79" s="243" t="s">
        <v>381</v>
      </c>
      <c r="D79" s="243" t="s">
        <v>224</v>
      </c>
      <c r="E79" s="243" t="s">
        <v>225</v>
      </c>
    </row>
    <row r="80" spans="1:5" s="243" customFormat="1" ht="14" customHeight="1">
      <c r="A80" s="241" t="s">
        <v>382</v>
      </c>
      <c r="B80" s="242" t="s">
        <v>383</v>
      </c>
      <c r="C80" s="243" t="s">
        <v>309</v>
      </c>
      <c r="D80" s="243" t="s">
        <v>200</v>
      </c>
      <c r="E80" s="243" t="s">
        <v>384</v>
      </c>
    </row>
    <row r="81" spans="1:5" ht="14" customHeight="1">
      <c r="A81" s="244" t="s">
        <v>385</v>
      </c>
      <c r="B81" s="242" t="s">
        <v>386</v>
      </c>
      <c r="C81" s="240" t="s">
        <v>387</v>
      </c>
      <c r="D81" s="240" t="s">
        <v>200</v>
      </c>
      <c r="E81" s="240" t="s">
        <v>321</v>
      </c>
    </row>
    <row r="82" spans="1:5" s="243" customFormat="1" ht="14" customHeight="1">
      <c r="A82" s="241" t="s">
        <v>388</v>
      </c>
      <c r="B82" s="242" t="s">
        <v>389</v>
      </c>
      <c r="C82" s="243" t="s">
        <v>390</v>
      </c>
      <c r="D82" s="243" t="s">
        <v>200</v>
      </c>
      <c r="E82" s="243" t="s">
        <v>201</v>
      </c>
    </row>
    <row r="83" spans="1:5" s="243" customFormat="1" ht="14" customHeight="1">
      <c r="A83" s="241" t="s">
        <v>391</v>
      </c>
      <c r="B83" s="242" t="s">
        <v>389</v>
      </c>
      <c r="C83" s="243" t="s">
        <v>392</v>
      </c>
      <c r="D83" s="243" t="s">
        <v>200</v>
      </c>
      <c r="E83" s="243" t="s">
        <v>321</v>
      </c>
    </row>
    <row r="84" spans="1:5" s="243" customFormat="1" ht="14" customHeight="1">
      <c r="A84" s="241" t="s">
        <v>393</v>
      </c>
      <c r="B84" s="242" t="s">
        <v>394</v>
      </c>
      <c r="C84" s="243" t="s">
        <v>395</v>
      </c>
      <c r="D84" s="243" t="s">
        <v>200</v>
      </c>
    </row>
    <row r="85" spans="1:5" s="243" customFormat="1" ht="14" customHeight="1">
      <c r="A85" s="248" t="s">
        <v>150</v>
      </c>
      <c r="B85" s="248" t="s">
        <v>396</v>
      </c>
      <c r="C85" s="243" t="s">
        <v>204</v>
      </c>
      <c r="D85" s="243" t="s">
        <v>200</v>
      </c>
      <c r="E85" s="243" t="s">
        <v>397</v>
      </c>
    </row>
    <row r="86" spans="1:5" s="243" customFormat="1" ht="14" customHeight="1">
      <c r="A86" s="248" t="s">
        <v>398</v>
      </c>
      <c r="B86" s="248" t="s">
        <v>399</v>
      </c>
      <c r="C86" s="243" t="s">
        <v>204</v>
      </c>
      <c r="D86" s="243" t="s">
        <v>200</v>
      </c>
      <c r="E86" s="243" t="s">
        <v>379</v>
      </c>
    </row>
    <row r="87" spans="1:5" ht="14" customHeight="1">
      <c r="A87" s="244" t="s">
        <v>400</v>
      </c>
      <c r="B87" s="245" t="s">
        <v>383</v>
      </c>
      <c r="C87" s="240" t="s">
        <v>204</v>
      </c>
      <c r="D87" s="240" t="s">
        <v>224</v>
      </c>
    </row>
    <row r="88" spans="1:5" ht="14" customHeight="1">
      <c r="A88" s="241" t="s">
        <v>401</v>
      </c>
      <c r="B88" s="245" t="s">
        <v>402</v>
      </c>
      <c r="C88" s="240" t="s">
        <v>403</v>
      </c>
      <c r="D88" s="240" t="s">
        <v>224</v>
      </c>
      <c r="E88" s="240" t="s">
        <v>225</v>
      </c>
    </row>
    <row r="89" spans="1:5" s="243" customFormat="1" ht="14" customHeight="1">
      <c r="A89" s="241" t="s">
        <v>401</v>
      </c>
      <c r="B89" s="242" t="s">
        <v>404</v>
      </c>
      <c r="C89" s="243" t="s">
        <v>204</v>
      </c>
      <c r="D89" s="243" t="s">
        <v>200</v>
      </c>
    </row>
    <row r="90" spans="1:5" ht="14" customHeight="1">
      <c r="A90" s="244" t="s">
        <v>405</v>
      </c>
      <c r="B90" s="245" t="s">
        <v>406</v>
      </c>
      <c r="C90" s="240" t="s">
        <v>407</v>
      </c>
      <c r="D90" s="240" t="s">
        <v>200</v>
      </c>
      <c r="E90" s="240" t="s">
        <v>408</v>
      </c>
    </row>
    <row r="91" spans="1:5" s="247" customFormat="1" ht="14" customHeight="1">
      <c r="A91" s="246" t="s">
        <v>140</v>
      </c>
      <c r="B91" s="246" t="s">
        <v>409</v>
      </c>
      <c r="C91" s="247" t="s">
        <v>410</v>
      </c>
      <c r="D91" s="247" t="s">
        <v>216</v>
      </c>
      <c r="E91" s="255" t="s">
        <v>261</v>
      </c>
    </row>
    <row r="92" spans="1:5" ht="14" customHeight="1">
      <c r="A92" s="241" t="s">
        <v>411</v>
      </c>
      <c r="B92" s="245" t="s">
        <v>412</v>
      </c>
      <c r="C92" s="240" t="s">
        <v>204</v>
      </c>
      <c r="D92" s="240" t="s">
        <v>200</v>
      </c>
      <c r="E92" s="240" t="s">
        <v>379</v>
      </c>
    </row>
    <row r="93" spans="1:5" s="243" customFormat="1" ht="14" customHeight="1">
      <c r="A93" s="248" t="s">
        <v>413</v>
      </c>
      <c r="B93" s="248" t="s">
        <v>414</v>
      </c>
      <c r="C93" s="243" t="s">
        <v>204</v>
      </c>
      <c r="D93" s="243" t="s">
        <v>200</v>
      </c>
    </row>
    <row r="94" spans="1:5" ht="14" customHeight="1">
      <c r="A94" s="244" t="s">
        <v>415</v>
      </c>
      <c r="B94" s="245" t="s">
        <v>416</v>
      </c>
      <c r="C94" s="240" t="s">
        <v>204</v>
      </c>
      <c r="D94" s="240" t="s">
        <v>195</v>
      </c>
    </row>
    <row r="95" spans="1:5" ht="14" customHeight="1">
      <c r="A95" s="252" t="s">
        <v>415</v>
      </c>
      <c r="B95" s="256" t="s">
        <v>417</v>
      </c>
      <c r="C95" s="251"/>
      <c r="D95" s="251"/>
      <c r="E95" s="251"/>
    </row>
    <row r="96" spans="1:5" s="247" customFormat="1" ht="14" customHeight="1">
      <c r="A96" s="249" t="s">
        <v>418</v>
      </c>
      <c r="B96" s="257" t="s">
        <v>419</v>
      </c>
      <c r="C96" s="247" t="s">
        <v>420</v>
      </c>
      <c r="D96" s="247" t="s">
        <v>224</v>
      </c>
      <c r="E96" s="247" t="s">
        <v>261</v>
      </c>
    </row>
    <row r="97" spans="1:6" s="251" customFormat="1" ht="14" customHeight="1">
      <c r="A97" s="252" t="s">
        <v>619</v>
      </c>
      <c r="B97" s="256"/>
    </row>
    <row r="98" spans="1:6" ht="14" customHeight="1">
      <c r="A98" s="244" t="s">
        <v>422</v>
      </c>
      <c r="B98" s="245" t="s">
        <v>423</v>
      </c>
      <c r="C98" s="240" t="s">
        <v>204</v>
      </c>
      <c r="D98" s="240" t="s">
        <v>224</v>
      </c>
      <c r="E98" s="240" t="s">
        <v>257</v>
      </c>
    </row>
    <row r="99" spans="1:6" s="243" customFormat="1" ht="14" customHeight="1">
      <c r="A99" s="253" t="s">
        <v>424</v>
      </c>
      <c r="B99" s="246" t="s">
        <v>361</v>
      </c>
      <c r="C99" s="247" t="s">
        <v>204</v>
      </c>
      <c r="D99" s="247" t="s">
        <v>200</v>
      </c>
      <c r="E99" s="247"/>
    </row>
    <row r="100" spans="1:6" s="251" customFormat="1" ht="14" customHeight="1">
      <c r="A100" s="260" t="s">
        <v>620</v>
      </c>
      <c r="B100" s="260"/>
    </row>
    <row r="101" spans="1:6" ht="14" customHeight="1">
      <c r="A101" s="244" t="s">
        <v>425</v>
      </c>
      <c r="B101" s="245" t="s">
        <v>426</v>
      </c>
      <c r="C101" s="240" t="s">
        <v>427</v>
      </c>
      <c r="D101" s="240" t="s">
        <v>224</v>
      </c>
      <c r="E101" s="240" t="s">
        <v>225</v>
      </c>
    </row>
    <row r="102" spans="1:6" ht="14" customHeight="1">
      <c r="A102" s="244" t="s">
        <v>428</v>
      </c>
      <c r="B102" s="245" t="s">
        <v>429</v>
      </c>
      <c r="C102" s="240" t="s">
        <v>204</v>
      </c>
      <c r="D102" s="240" t="s">
        <v>200</v>
      </c>
    </row>
    <row r="103" spans="1:6" ht="14" customHeight="1">
      <c r="A103" s="253" t="s">
        <v>430</v>
      </c>
      <c r="B103" s="253" t="s">
        <v>431</v>
      </c>
      <c r="C103" s="240" t="s">
        <v>204</v>
      </c>
      <c r="D103" s="240" t="s">
        <v>224</v>
      </c>
    </row>
    <row r="104" spans="1:6" ht="14" customHeight="1">
      <c r="A104" s="253" t="s">
        <v>432</v>
      </c>
      <c r="B104" s="253" t="s">
        <v>433</v>
      </c>
      <c r="C104" s="240" t="s">
        <v>204</v>
      </c>
      <c r="D104" s="240" t="s">
        <v>224</v>
      </c>
    </row>
    <row r="105" spans="1:6" s="243" customFormat="1" ht="14" customHeight="1">
      <c r="A105" s="241" t="s">
        <v>434</v>
      </c>
      <c r="B105" s="242" t="s">
        <v>435</v>
      </c>
      <c r="C105" s="243" t="s">
        <v>309</v>
      </c>
      <c r="D105" s="243" t="s">
        <v>195</v>
      </c>
    </row>
    <row r="106" spans="1:6" s="243" customFormat="1" ht="14" customHeight="1">
      <c r="A106" s="241" t="s">
        <v>436</v>
      </c>
      <c r="B106" s="253" t="s">
        <v>437</v>
      </c>
      <c r="C106" s="247" t="s">
        <v>438</v>
      </c>
      <c r="D106" s="247" t="s">
        <v>200</v>
      </c>
      <c r="E106" s="247" t="s">
        <v>217</v>
      </c>
      <c r="F106" s="247"/>
    </row>
    <row r="107" spans="1:6" s="243" customFormat="1" ht="14" customHeight="1">
      <c r="A107" s="241" t="s">
        <v>439</v>
      </c>
      <c r="B107" s="242" t="s">
        <v>440</v>
      </c>
      <c r="C107" s="243" t="s">
        <v>204</v>
      </c>
      <c r="D107" s="243" t="s">
        <v>224</v>
      </c>
      <c r="E107" s="243" t="s">
        <v>284</v>
      </c>
    </row>
    <row r="108" spans="1:6" s="247" customFormat="1" ht="14" customHeight="1">
      <c r="A108" s="249" t="s">
        <v>441</v>
      </c>
      <c r="B108" s="246" t="s">
        <v>442</v>
      </c>
      <c r="C108" s="247" t="s">
        <v>204</v>
      </c>
      <c r="D108" s="247" t="s">
        <v>224</v>
      </c>
    </row>
    <row r="109" spans="1:6" ht="14" customHeight="1">
      <c r="A109" s="244" t="s">
        <v>443</v>
      </c>
      <c r="B109" s="245" t="s">
        <v>444</v>
      </c>
      <c r="C109" s="240" t="s">
        <v>204</v>
      </c>
      <c r="D109" s="240" t="s">
        <v>200</v>
      </c>
      <c r="E109" s="240" t="s">
        <v>284</v>
      </c>
    </row>
    <row r="110" spans="1:6" ht="14" customHeight="1">
      <c r="A110" s="244" t="s">
        <v>445</v>
      </c>
      <c r="B110" s="245" t="s">
        <v>446</v>
      </c>
      <c r="C110" s="240" t="s">
        <v>204</v>
      </c>
      <c r="D110" s="240" t="s">
        <v>200</v>
      </c>
      <c r="E110" s="240" t="s">
        <v>205</v>
      </c>
    </row>
  </sheetData>
  <pageMargins left="0.5" right="0.5" top="0.75" bottom="0.75" header="0.5" footer="0.5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Y115"/>
  <sheetViews>
    <sheetView workbookViewId="0">
      <pane xSplit="1" ySplit="1" topLeftCell="B90" activePane="bottomRight" state="frozenSplit"/>
      <selection activeCell="B87" sqref="B87"/>
      <selection pane="topRight" activeCell="B87" sqref="B87"/>
      <selection pane="bottomLeft" activeCell="B87" sqref="B87"/>
      <selection pane="bottomRight" activeCell="B87" sqref="B87"/>
    </sheetView>
  </sheetViews>
  <sheetFormatPr baseColWidth="10" defaultColWidth="10.83203125" defaultRowHeight="14" x14ac:dyDescent="0"/>
  <cols>
    <col min="1" max="1" width="49.83203125" style="261" customWidth="1"/>
    <col min="2" max="21" width="10.83203125" style="261"/>
    <col min="22" max="22" width="1.33203125" style="261" customWidth="1"/>
    <col min="23" max="23" width="12.5" style="261" customWidth="1"/>
    <col min="24" max="16384" width="10.83203125" style="264"/>
  </cols>
  <sheetData>
    <row r="1" spans="1:24" ht="42">
      <c r="A1" s="261" t="s">
        <v>449</v>
      </c>
      <c r="B1" s="261" t="s">
        <v>450</v>
      </c>
      <c r="C1" s="261" t="s">
        <v>451</v>
      </c>
      <c r="D1" s="261" t="s">
        <v>452</v>
      </c>
      <c r="E1" s="261">
        <v>1</v>
      </c>
      <c r="F1" s="261">
        <v>2</v>
      </c>
      <c r="G1" s="261">
        <v>3</v>
      </c>
      <c r="H1" s="261">
        <v>4</v>
      </c>
      <c r="I1" s="261">
        <v>5</v>
      </c>
      <c r="J1" s="261">
        <v>6</v>
      </c>
      <c r="K1" s="261">
        <v>7</v>
      </c>
      <c r="L1" s="261">
        <v>8</v>
      </c>
      <c r="M1" s="261">
        <v>9</v>
      </c>
      <c r="N1" s="261">
        <v>10</v>
      </c>
      <c r="O1" s="261">
        <v>11</v>
      </c>
      <c r="P1" s="261">
        <v>12</v>
      </c>
      <c r="Q1" s="261" t="s">
        <v>453</v>
      </c>
      <c r="R1" s="261" t="s">
        <v>454</v>
      </c>
      <c r="S1" s="261" t="s">
        <v>455</v>
      </c>
      <c r="T1" s="261" t="s">
        <v>456</v>
      </c>
      <c r="U1" s="262" t="s">
        <v>457</v>
      </c>
      <c r="W1" s="263" t="s">
        <v>458</v>
      </c>
      <c r="X1" s="264" t="s">
        <v>459</v>
      </c>
    </row>
    <row r="2" spans="1:24">
      <c r="A2" s="265" t="s">
        <v>460</v>
      </c>
      <c r="B2" s="261">
        <v>0</v>
      </c>
      <c r="C2" s="261">
        <v>0</v>
      </c>
      <c r="D2" s="261">
        <v>80</v>
      </c>
      <c r="E2" s="261">
        <v>75</v>
      </c>
      <c r="F2" s="261">
        <v>50</v>
      </c>
      <c r="G2" s="261">
        <v>50</v>
      </c>
      <c r="H2" s="261">
        <v>80</v>
      </c>
      <c r="I2" s="261">
        <v>100</v>
      </c>
      <c r="J2" s="261">
        <v>100</v>
      </c>
      <c r="K2" s="261">
        <v>80</v>
      </c>
      <c r="L2" s="261">
        <v>29</v>
      </c>
      <c r="M2" s="261">
        <v>0</v>
      </c>
      <c r="N2" s="261">
        <v>0</v>
      </c>
      <c r="O2" s="261">
        <v>0</v>
      </c>
      <c r="P2" s="261">
        <v>0</v>
      </c>
      <c r="Q2" s="261">
        <v>0</v>
      </c>
      <c r="R2" s="261">
        <v>0</v>
      </c>
      <c r="S2" s="261">
        <v>0</v>
      </c>
      <c r="U2" s="262">
        <f>SUM(B2:T2)</f>
        <v>644</v>
      </c>
      <c r="W2" s="261">
        <f>'FY14 vs. ceiling by LEA'!W2</f>
        <v>300</v>
      </c>
    </row>
    <row r="3" spans="1:24">
      <c r="A3" s="264" t="s">
        <v>461</v>
      </c>
      <c r="B3" s="264">
        <v>41</v>
      </c>
      <c r="C3" s="264"/>
      <c r="D3" s="264">
        <v>0</v>
      </c>
      <c r="E3" s="264">
        <v>0</v>
      </c>
      <c r="F3" s="264">
        <v>0</v>
      </c>
      <c r="G3" s="264">
        <v>0</v>
      </c>
      <c r="H3" s="264">
        <v>0</v>
      </c>
      <c r="I3" s="264">
        <v>0</v>
      </c>
      <c r="J3" s="264">
        <v>0</v>
      </c>
      <c r="K3" s="264">
        <v>0</v>
      </c>
      <c r="L3" s="264">
        <v>0</v>
      </c>
      <c r="M3" s="264">
        <v>0</v>
      </c>
      <c r="N3" s="264">
        <v>0</v>
      </c>
      <c r="O3" s="264">
        <v>0</v>
      </c>
      <c r="P3" s="264">
        <v>0</v>
      </c>
      <c r="Q3" s="264">
        <v>0</v>
      </c>
      <c r="R3" s="264">
        <v>0</v>
      </c>
      <c r="S3" s="264">
        <v>0</v>
      </c>
      <c r="T3" s="264"/>
      <c r="U3" s="262">
        <f t="shared" ref="U3:U67" si="0">SUM(B3:T3)</f>
        <v>41</v>
      </c>
      <c r="V3" s="264"/>
      <c r="W3" s="264">
        <f>'FY14 vs. ceiling by LEA'!W3</f>
        <v>651</v>
      </c>
      <c r="X3" s="264" t="s">
        <v>462</v>
      </c>
    </row>
    <row r="4" spans="1:24">
      <c r="A4" s="264" t="s">
        <v>463</v>
      </c>
      <c r="B4" s="264">
        <v>81</v>
      </c>
      <c r="C4" s="264">
        <v>81</v>
      </c>
      <c r="D4" s="264">
        <v>0</v>
      </c>
      <c r="E4" s="264">
        <v>0</v>
      </c>
      <c r="F4" s="264">
        <v>0</v>
      </c>
      <c r="G4" s="264">
        <v>0</v>
      </c>
      <c r="H4" s="264">
        <v>0</v>
      </c>
      <c r="I4" s="264">
        <v>0</v>
      </c>
      <c r="J4" s="264">
        <v>0</v>
      </c>
      <c r="K4" s="264">
        <v>0</v>
      </c>
      <c r="L4" s="264">
        <v>0</v>
      </c>
      <c r="M4" s="264">
        <v>0</v>
      </c>
      <c r="N4" s="264">
        <v>0</v>
      </c>
      <c r="O4" s="264">
        <v>0</v>
      </c>
      <c r="P4" s="264">
        <v>0</v>
      </c>
      <c r="Q4" s="264">
        <v>0</v>
      </c>
      <c r="R4" s="264">
        <v>0</v>
      </c>
      <c r="S4" s="264">
        <v>0</v>
      </c>
      <c r="T4" s="264"/>
      <c r="U4" s="262">
        <f t="shared" si="0"/>
        <v>162</v>
      </c>
      <c r="V4" s="264"/>
      <c r="W4" s="264"/>
      <c r="X4" s="264" t="s">
        <v>464</v>
      </c>
    </row>
    <row r="5" spans="1:24">
      <c r="A5" s="264" t="s">
        <v>465</v>
      </c>
      <c r="B5" s="264">
        <v>41</v>
      </c>
      <c r="C5" s="264">
        <v>41</v>
      </c>
      <c r="D5" s="264">
        <v>0</v>
      </c>
      <c r="E5" s="264">
        <v>0</v>
      </c>
      <c r="F5" s="264">
        <v>0</v>
      </c>
      <c r="G5" s="264">
        <v>0</v>
      </c>
      <c r="H5" s="264">
        <v>0</v>
      </c>
      <c r="I5" s="264">
        <v>0</v>
      </c>
      <c r="J5" s="264">
        <v>0</v>
      </c>
      <c r="K5" s="264">
        <v>0</v>
      </c>
      <c r="L5" s="264">
        <v>0</v>
      </c>
      <c r="M5" s="264">
        <v>0</v>
      </c>
      <c r="N5" s="264">
        <v>0</v>
      </c>
      <c r="O5" s="264">
        <v>0</v>
      </c>
      <c r="P5" s="264">
        <v>0</v>
      </c>
      <c r="Q5" s="264">
        <v>0</v>
      </c>
      <c r="R5" s="264">
        <v>0</v>
      </c>
      <c r="S5" s="264">
        <v>0</v>
      </c>
      <c r="T5" s="264"/>
      <c r="U5" s="262">
        <f t="shared" si="0"/>
        <v>82</v>
      </c>
      <c r="V5" s="264"/>
      <c r="W5" s="264"/>
    </row>
    <row r="6" spans="1:24">
      <c r="A6" s="264" t="s">
        <v>466</v>
      </c>
      <c r="B6" s="264">
        <v>41</v>
      </c>
      <c r="C6" s="264">
        <v>21</v>
      </c>
      <c r="D6" s="264">
        <v>0</v>
      </c>
      <c r="E6" s="264">
        <v>0</v>
      </c>
      <c r="F6" s="264">
        <v>0</v>
      </c>
      <c r="G6" s="264">
        <v>0</v>
      </c>
      <c r="H6" s="264">
        <v>0</v>
      </c>
      <c r="I6" s="264">
        <v>0</v>
      </c>
      <c r="J6" s="264">
        <v>0</v>
      </c>
      <c r="K6" s="264">
        <v>0</v>
      </c>
      <c r="L6" s="264">
        <v>0</v>
      </c>
      <c r="M6" s="264">
        <v>0</v>
      </c>
      <c r="N6" s="264">
        <v>0</v>
      </c>
      <c r="O6" s="264">
        <v>0</v>
      </c>
      <c r="P6" s="264">
        <v>0</v>
      </c>
      <c r="Q6" s="264">
        <v>0</v>
      </c>
      <c r="R6" s="264">
        <v>0</v>
      </c>
      <c r="S6" s="264">
        <v>0</v>
      </c>
      <c r="T6" s="264"/>
      <c r="U6" s="262">
        <f t="shared" si="0"/>
        <v>62</v>
      </c>
      <c r="V6" s="264"/>
      <c r="W6" s="264"/>
    </row>
    <row r="7" spans="1:24">
      <c r="A7" s="264" t="s">
        <v>467</v>
      </c>
      <c r="B7" s="264">
        <v>100</v>
      </c>
      <c r="C7" s="264">
        <v>60</v>
      </c>
      <c r="D7" s="264">
        <v>0</v>
      </c>
      <c r="E7" s="264">
        <v>0</v>
      </c>
      <c r="F7" s="264">
        <v>0</v>
      </c>
      <c r="G7" s="264">
        <v>0</v>
      </c>
      <c r="H7" s="264">
        <v>0</v>
      </c>
      <c r="I7" s="264">
        <v>0</v>
      </c>
      <c r="J7" s="264">
        <v>0</v>
      </c>
      <c r="K7" s="264">
        <v>0</v>
      </c>
      <c r="L7" s="264">
        <v>0</v>
      </c>
      <c r="M7" s="264">
        <v>0</v>
      </c>
      <c r="N7" s="264">
        <v>0</v>
      </c>
      <c r="O7" s="264">
        <v>0</v>
      </c>
      <c r="P7" s="264">
        <v>0</v>
      </c>
      <c r="Q7" s="264">
        <v>0</v>
      </c>
      <c r="R7" s="264">
        <v>0</v>
      </c>
      <c r="S7" s="264">
        <v>0</v>
      </c>
      <c r="T7" s="264"/>
      <c r="U7" s="262">
        <f t="shared" si="0"/>
        <v>160</v>
      </c>
      <c r="V7" s="264"/>
      <c r="W7" s="264"/>
    </row>
    <row r="8" spans="1:24">
      <c r="A8" s="264" t="s">
        <v>468</v>
      </c>
      <c r="B8" s="264">
        <v>41</v>
      </c>
      <c r="C8" s="264">
        <v>41</v>
      </c>
      <c r="D8" s="264">
        <v>0</v>
      </c>
      <c r="E8" s="264">
        <v>0</v>
      </c>
      <c r="F8" s="264">
        <v>0</v>
      </c>
      <c r="G8" s="264">
        <v>0</v>
      </c>
      <c r="H8" s="264">
        <v>0</v>
      </c>
      <c r="I8" s="264">
        <v>0</v>
      </c>
      <c r="J8" s="264">
        <v>0</v>
      </c>
      <c r="K8" s="264">
        <v>0</v>
      </c>
      <c r="L8" s="264">
        <v>0</v>
      </c>
      <c r="M8" s="264">
        <v>0</v>
      </c>
      <c r="N8" s="264">
        <v>0</v>
      </c>
      <c r="O8" s="264">
        <v>0</v>
      </c>
      <c r="P8" s="264">
        <v>0</v>
      </c>
      <c r="Q8" s="264">
        <v>0</v>
      </c>
      <c r="R8" s="264">
        <v>0</v>
      </c>
      <c r="S8" s="264">
        <v>0</v>
      </c>
      <c r="T8" s="264"/>
      <c r="U8" s="262">
        <f t="shared" si="0"/>
        <v>82</v>
      </c>
      <c r="V8" s="264"/>
      <c r="W8" s="264"/>
    </row>
    <row r="9" spans="1:24">
      <c r="A9" s="264" t="s">
        <v>469</v>
      </c>
      <c r="B9" s="264">
        <v>0</v>
      </c>
      <c r="C9" s="264">
        <v>41</v>
      </c>
      <c r="D9" s="264">
        <v>0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  <c r="L9" s="264">
        <v>0</v>
      </c>
      <c r="M9" s="264">
        <v>0</v>
      </c>
      <c r="N9" s="264">
        <v>0</v>
      </c>
      <c r="O9" s="264">
        <v>0</v>
      </c>
      <c r="P9" s="264">
        <v>0</v>
      </c>
      <c r="Q9" s="264">
        <v>0</v>
      </c>
      <c r="R9" s="264">
        <v>0</v>
      </c>
      <c r="S9" s="264">
        <v>0</v>
      </c>
      <c r="T9" s="264"/>
      <c r="U9" s="262">
        <f t="shared" si="0"/>
        <v>41</v>
      </c>
      <c r="V9" s="264"/>
      <c r="W9" s="264"/>
    </row>
    <row r="10" spans="1:24">
      <c r="A10" s="264" t="s">
        <v>470</v>
      </c>
      <c r="B10" s="264">
        <v>75</v>
      </c>
      <c r="C10" s="264">
        <v>90</v>
      </c>
      <c r="D10" s="264">
        <v>100</v>
      </c>
      <c r="E10" s="264">
        <v>75</v>
      </c>
      <c r="F10" s="264">
        <v>75</v>
      </c>
      <c r="G10" s="264">
        <v>75</v>
      </c>
      <c r="H10" s="264">
        <v>75</v>
      </c>
      <c r="I10" s="264">
        <v>75</v>
      </c>
      <c r="J10" s="264">
        <v>0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/>
      <c r="U10" s="262">
        <f t="shared" si="0"/>
        <v>640</v>
      </c>
      <c r="V10" s="264"/>
      <c r="W10" s="264">
        <f>'FY14 vs. ceiling by LEA'!W10</f>
        <v>1000</v>
      </c>
      <c r="X10" s="264" t="s">
        <v>471</v>
      </c>
    </row>
    <row r="11" spans="1:24">
      <c r="A11" s="264" t="s">
        <v>472</v>
      </c>
      <c r="B11" s="264">
        <v>0</v>
      </c>
      <c r="C11" s="264">
        <v>0</v>
      </c>
      <c r="D11" s="264">
        <v>0</v>
      </c>
      <c r="E11" s="264">
        <v>0</v>
      </c>
      <c r="F11" s="264">
        <v>0</v>
      </c>
      <c r="G11" s="264">
        <v>0</v>
      </c>
      <c r="H11" s="264">
        <v>0</v>
      </c>
      <c r="I11" s="264">
        <v>155</v>
      </c>
      <c r="J11" s="264">
        <v>150</v>
      </c>
      <c r="K11" s="264">
        <v>145</v>
      </c>
      <c r="L11" s="264">
        <v>70</v>
      </c>
      <c r="M11" s="266">
        <v>30</v>
      </c>
      <c r="N11" s="264">
        <v>0</v>
      </c>
      <c r="O11" s="264">
        <v>0</v>
      </c>
      <c r="P11" s="264">
        <v>0</v>
      </c>
      <c r="Q11" s="264">
        <v>0</v>
      </c>
      <c r="R11" s="264">
        <v>0</v>
      </c>
      <c r="S11" s="264">
        <v>0</v>
      </c>
      <c r="T11" s="264"/>
      <c r="U11" s="262">
        <f t="shared" si="0"/>
        <v>550</v>
      </c>
      <c r="V11" s="264"/>
      <c r="W11" s="267">
        <f>'FY14 vs. ceiling by LEA'!W11</f>
        <v>511</v>
      </c>
      <c r="X11" s="264" t="s">
        <v>473</v>
      </c>
    </row>
    <row r="12" spans="1:24">
      <c r="A12" s="264" t="s">
        <v>228</v>
      </c>
      <c r="B12" s="264">
        <v>0</v>
      </c>
      <c r="C12" s="264">
        <v>0</v>
      </c>
      <c r="D12" s="264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55</v>
      </c>
      <c r="N12" s="264">
        <v>55</v>
      </c>
      <c r="O12" s="264">
        <v>55</v>
      </c>
      <c r="P12" s="264">
        <v>55</v>
      </c>
      <c r="Q12" s="264">
        <v>0</v>
      </c>
      <c r="R12" s="264">
        <v>0</v>
      </c>
      <c r="S12" s="264">
        <v>175</v>
      </c>
      <c r="T12" s="264"/>
      <c r="U12" s="262">
        <f t="shared" si="0"/>
        <v>395</v>
      </c>
      <c r="V12" s="264"/>
      <c r="W12" s="264">
        <f>'FY14 vs. ceiling by LEA'!W12</f>
        <v>395</v>
      </c>
      <c r="X12" s="264" t="s">
        <v>471</v>
      </c>
    </row>
    <row r="13" spans="1:24">
      <c r="A13" s="264" t="s">
        <v>230</v>
      </c>
      <c r="B13" s="264">
        <v>48</v>
      </c>
      <c r="C13" s="264">
        <v>64</v>
      </c>
      <c r="D13" s="264">
        <v>52</v>
      </c>
      <c r="E13" s="266">
        <v>52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0</v>
      </c>
      <c r="R13" s="264">
        <v>0</v>
      </c>
      <c r="S13" s="264">
        <v>0</v>
      </c>
      <c r="T13" s="264"/>
      <c r="U13" s="262">
        <f t="shared" si="0"/>
        <v>216</v>
      </c>
      <c r="V13" s="264"/>
      <c r="W13" s="264">
        <f>'FY14 vs. ceiling by LEA'!W13</f>
        <v>464</v>
      </c>
      <c r="X13" s="264" t="s">
        <v>474</v>
      </c>
    </row>
    <row r="14" spans="1:24">
      <c r="A14" s="264" t="s">
        <v>475</v>
      </c>
      <c r="B14" s="264">
        <v>32</v>
      </c>
      <c r="C14" s="264">
        <v>40</v>
      </c>
      <c r="D14" s="264">
        <v>48</v>
      </c>
      <c r="E14" s="264">
        <v>50</v>
      </c>
      <c r="F14" s="264">
        <v>50</v>
      </c>
      <c r="G14" s="264">
        <v>50</v>
      </c>
      <c r="H14" s="264">
        <v>50</v>
      </c>
      <c r="I14" s="264"/>
      <c r="J14" s="264"/>
      <c r="K14" s="264"/>
      <c r="L14" s="264"/>
      <c r="M14" s="264"/>
      <c r="N14" s="264"/>
      <c r="O14" s="264"/>
      <c r="P14" s="264"/>
      <c r="Q14" s="264">
        <v>0</v>
      </c>
      <c r="R14" s="264">
        <v>0</v>
      </c>
      <c r="S14" s="264">
        <v>0</v>
      </c>
      <c r="T14" s="264"/>
      <c r="U14" s="262">
        <f t="shared" si="0"/>
        <v>320</v>
      </c>
      <c r="V14" s="264"/>
      <c r="W14" s="264">
        <f>'FY14 vs. ceiling by LEA'!W14</f>
        <v>1000</v>
      </c>
    </row>
    <row r="15" spans="1:24">
      <c r="A15" s="264" t="s">
        <v>476</v>
      </c>
      <c r="B15" s="264"/>
      <c r="C15" s="264"/>
      <c r="D15" s="264"/>
      <c r="E15" s="264"/>
      <c r="F15" s="264"/>
      <c r="G15" s="264"/>
      <c r="H15" s="264"/>
      <c r="I15" s="264">
        <v>80</v>
      </c>
      <c r="J15" s="264">
        <v>80</v>
      </c>
      <c r="K15" s="264">
        <v>80</v>
      </c>
      <c r="L15" s="264">
        <v>80</v>
      </c>
      <c r="M15" s="264"/>
      <c r="N15" s="264"/>
      <c r="O15" s="264"/>
      <c r="P15" s="264"/>
      <c r="Q15" s="264">
        <v>0</v>
      </c>
      <c r="R15" s="264">
        <v>0</v>
      </c>
      <c r="S15" s="264">
        <v>0</v>
      </c>
      <c r="T15" s="264"/>
      <c r="U15" s="262">
        <f t="shared" si="0"/>
        <v>320</v>
      </c>
      <c r="V15" s="264"/>
      <c r="W15" s="264"/>
    </row>
    <row r="16" spans="1:24">
      <c r="A16" s="264" t="s">
        <v>477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>
        <v>90</v>
      </c>
      <c r="N16" s="264">
        <v>90</v>
      </c>
      <c r="O16" s="264">
        <v>75</v>
      </c>
      <c r="P16" s="264">
        <v>65</v>
      </c>
      <c r="Q16" s="264">
        <v>0</v>
      </c>
      <c r="R16" s="264">
        <v>0</v>
      </c>
      <c r="S16" s="264">
        <v>0</v>
      </c>
      <c r="T16" s="264"/>
      <c r="U16" s="262">
        <f t="shared" si="0"/>
        <v>320</v>
      </c>
      <c r="V16" s="264"/>
      <c r="W16" s="264"/>
    </row>
    <row r="17" spans="1:24">
      <c r="A17" s="264" t="s">
        <v>478</v>
      </c>
      <c r="B17" s="264">
        <v>0</v>
      </c>
      <c r="C17" s="264">
        <v>0</v>
      </c>
      <c r="D17" s="264">
        <v>0</v>
      </c>
      <c r="E17" s="264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  <c r="O17" s="264">
        <v>0</v>
      </c>
      <c r="P17" s="264">
        <v>0</v>
      </c>
      <c r="Q17" s="264">
        <v>0</v>
      </c>
      <c r="R17" s="264">
        <v>0</v>
      </c>
      <c r="S17" s="264">
        <v>1700</v>
      </c>
      <c r="T17" s="264"/>
      <c r="U17" s="262">
        <f t="shared" si="0"/>
        <v>1700</v>
      </c>
      <c r="V17" s="264"/>
      <c r="W17" s="264">
        <f>'FY14 vs. ceiling by LEA'!W17</f>
        <v>1950</v>
      </c>
    </row>
    <row r="18" spans="1:24">
      <c r="A18" s="265" t="s">
        <v>479</v>
      </c>
      <c r="B18" s="264">
        <v>0</v>
      </c>
      <c r="C18" s="264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  <c r="L18" s="264">
        <v>0</v>
      </c>
      <c r="M18" s="264">
        <v>0</v>
      </c>
      <c r="N18" s="264">
        <v>0</v>
      </c>
      <c r="O18" s="264">
        <v>0</v>
      </c>
      <c r="P18" s="264">
        <v>0</v>
      </c>
      <c r="Q18" s="264">
        <v>0</v>
      </c>
      <c r="R18" s="264">
        <v>0</v>
      </c>
      <c r="S18" s="266">
        <v>250</v>
      </c>
      <c r="T18" s="264"/>
      <c r="U18" s="262">
        <f t="shared" si="0"/>
        <v>250</v>
      </c>
      <c r="V18" s="264"/>
      <c r="W18" s="264"/>
      <c r="X18" s="264" t="s">
        <v>480</v>
      </c>
    </row>
    <row r="19" spans="1:24">
      <c r="A19" s="264" t="s">
        <v>481</v>
      </c>
      <c r="B19" s="264">
        <v>0</v>
      </c>
      <c r="C19" s="264">
        <v>20</v>
      </c>
      <c r="D19" s="264">
        <v>23</v>
      </c>
      <c r="E19" s="264">
        <v>23</v>
      </c>
      <c r="F19" s="264">
        <v>25</v>
      </c>
      <c r="G19" s="264">
        <v>25</v>
      </c>
      <c r="H19" s="264">
        <v>25</v>
      </c>
      <c r="I19" s="264">
        <v>25</v>
      </c>
      <c r="J19" s="264">
        <v>25</v>
      </c>
      <c r="K19" s="264">
        <v>22</v>
      </c>
      <c r="L19" s="264">
        <v>20</v>
      </c>
      <c r="M19" s="264">
        <v>0</v>
      </c>
      <c r="N19" s="264">
        <v>0</v>
      </c>
      <c r="O19" s="264">
        <v>0</v>
      </c>
      <c r="P19" s="264">
        <v>0</v>
      </c>
      <c r="Q19" s="264">
        <v>0</v>
      </c>
      <c r="R19" s="264">
        <v>0</v>
      </c>
      <c r="S19" s="264">
        <v>0</v>
      </c>
      <c r="T19" s="264"/>
      <c r="U19" s="262">
        <f t="shared" si="0"/>
        <v>233</v>
      </c>
      <c r="V19" s="264"/>
      <c r="W19" s="264">
        <f>'FY14 vs. ceiling by LEA'!W19</f>
        <v>1785</v>
      </c>
    </row>
    <row r="20" spans="1:24">
      <c r="A20" s="264" t="s">
        <v>482</v>
      </c>
      <c r="B20" s="264">
        <v>0</v>
      </c>
      <c r="C20" s="264">
        <v>20</v>
      </c>
      <c r="D20" s="264">
        <v>23</v>
      </c>
      <c r="E20" s="264">
        <v>23</v>
      </c>
      <c r="F20" s="264">
        <v>25</v>
      </c>
      <c r="G20" s="264">
        <v>25</v>
      </c>
      <c r="H20" s="264">
        <v>25</v>
      </c>
      <c r="I20" s="264">
        <v>25</v>
      </c>
      <c r="J20" s="264">
        <v>25</v>
      </c>
      <c r="K20" s="264">
        <v>22</v>
      </c>
      <c r="L20" s="264">
        <v>20</v>
      </c>
      <c r="M20" s="264">
        <v>0</v>
      </c>
      <c r="N20" s="264">
        <v>0</v>
      </c>
      <c r="O20" s="264">
        <v>0</v>
      </c>
      <c r="P20" s="264">
        <v>0</v>
      </c>
      <c r="Q20" s="264">
        <v>0</v>
      </c>
      <c r="R20" s="264">
        <v>0</v>
      </c>
      <c r="S20" s="264">
        <v>0</v>
      </c>
      <c r="T20" s="264"/>
      <c r="U20" s="262">
        <f t="shared" si="0"/>
        <v>233</v>
      </c>
      <c r="V20" s="264"/>
      <c r="W20" s="264"/>
    </row>
    <row r="21" spans="1:24">
      <c r="A21" s="264" t="s">
        <v>483</v>
      </c>
      <c r="B21" s="264">
        <v>0</v>
      </c>
      <c r="C21" s="264">
        <v>20</v>
      </c>
      <c r="D21" s="264">
        <v>23</v>
      </c>
      <c r="E21" s="264">
        <v>23</v>
      </c>
      <c r="F21" s="264">
        <v>25</v>
      </c>
      <c r="G21" s="264">
        <v>25</v>
      </c>
      <c r="H21" s="264">
        <v>25</v>
      </c>
      <c r="I21" s="264">
        <v>25</v>
      </c>
      <c r="J21" s="264">
        <v>25</v>
      </c>
      <c r="K21" s="264">
        <v>22</v>
      </c>
      <c r="L21" s="264">
        <v>20</v>
      </c>
      <c r="M21" s="264">
        <v>0</v>
      </c>
      <c r="N21" s="264">
        <v>0</v>
      </c>
      <c r="O21" s="264">
        <v>0</v>
      </c>
      <c r="P21" s="264">
        <v>0</v>
      </c>
      <c r="Q21" s="264">
        <v>0</v>
      </c>
      <c r="R21" s="264">
        <v>0</v>
      </c>
      <c r="S21" s="264">
        <v>0</v>
      </c>
      <c r="T21" s="264"/>
      <c r="U21" s="262">
        <f t="shared" si="0"/>
        <v>233</v>
      </c>
      <c r="V21" s="264"/>
      <c r="W21" s="264"/>
    </row>
    <row r="22" spans="1:24">
      <c r="A22" s="264" t="s">
        <v>484</v>
      </c>
      <c r="B22" s="264">
        <v>0</v>
      </c>
      <c r="C22" s="264">
        <v>20</v>
      </c>
      <c r="D22" s="264">
        <v>23</v>
      </c>
      <c r="E22" s="264">
        <v>23</v>
      </c>
      <c r="F22" s="264">
        <v>25</v>
      </c>
      <c r="G22" s="264">
        <v>25</v>
      </c>
      <c r="H22" s="264">
        <v>25</v>
      </c>
      <c r="I22" s="264">
        <v>25</v>
      </c>
      <c r="J22" s="264">
        <v>25</v>
      </c>
      <c r="K22" s="264">
        <v>22</v>
      </c>
      <c r="L22" s="264">
        <v>20</v>
      </c>
      <c r="M22" s="264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v>0</v>
      </c>
      <c r="S22" s="264">
        <v>0</v>
      </c>
      <c r="T22" s="264"/>
      <c r="U22" s="262">
        <f t="shared" si="0"/>
        <v>233</v>
      </c>
      <c r="V22" s="264"/>
      <c r="W22" s="264"/>
    </row>
    <row r="23" spans="1:24">
      <c r="A23" s="264" t="s">
        <v>485</v>
      </c>
      <c r="B23" s="264">
        <v>0</v>
      </c>
      <c r="C23" s="264">
        <v>20</v>
      </c>
      <c r="D23" s="264">
        <v>23</v>
      </c>
      <c r="E23" s="264">
        <v>23</v>
      </c>
      <c r="F23" s="264">
        <v>25</v>
      </c>
      <c r="G23" s="264">
        <v>25</v>
      </c>
      <c r="H23" s="264">
        <v>25</v>
      </c>
      <c r="I23" s="264">
        <v>25</v>
      </c>
      <c r="J23" s="264">
        <v>25</v>
      </c>
      <c r="K23" s="264">
        <v>22</v>
      </c>
      <c r="L23" s="264">
        <v>20</v>
      </c>
      <c r="M23" s="264">
        <v>0</v>
      </c>
      <c r="N23" s="264">
        <v>0</v>
      </c>
      <c r="O23" s="264">
        <v>0</v>
      </c>
      <c r="P23" s="264">
        <v>0</v>
      </c>
      <c r="Q23" s="264">
        <v>0</v>
      </c>
      <c r="R23" s="264">
        <v>0</v>
      </c>
      <c r="S23" s="264">
        <v>0</v>
      </c>
      <c r="T23" s="264"/>
      <c r="U23" s="262">
        <f t="shared" si="0"/>
        <v>233</v>
      </c>
      <c r="V23" s="264"/>
      <c r="W23" s="264"/>
    </row>
    <row r="24" spans="1:24">
      <c r="A24" s="264" t="s">
        <v>486</v>
      </c>
      <c r="B24" s="264">
        <v>0</v>
      </c>
      <c r="C24" s="264">
        <v>20</v>
      </c>
      <c r="D24" s="264">
        <v>23</v>
      </c>
      <c r="E24" s="264">
        <v>23</v>
      </c>
      <c r="F24" s="264">
        <v>25</v>
      </c>
      <c r="G24" s="264">
        <v>25</v>
      </c>
      <c r="H24" s="264">
        <v>25</v>
      </c>
      <c r="I24" s="264">
        <v>25</v>
      </c>
      <c r="J24" s="264">
        <v>25</v>
      </c>
      <c r="K24" s="264">
        <v>22</v>
      </c>
      <c r="L24" s="264">
        <v>20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0</v>
      </c>
      <c r="T24" s="264"/>
      <c r="U24" s="262">
        <f t="shared" si="0"/>
        <v>233</v>
      </c>
      <c r="V24" s="264"/>
      <c r="W24" s="264"/>
    </row>
    <row r="25" spans="1:24">
      <c r="A25" s="264" t="s">
        <v>487</v>
      </c>
      <c r="B25" s="264">
        <v>0</v>
      </c>
      <c r="C25" s="264">
        <v>0</v>
      </c>
      <c r="D25" s="264">
        <v>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/>
      <c r="K25" s="264"/>
      <c r="L25" s="264"/>
      <c r="M25" s="264">
        <v>145</v>
      </c>
      <c r="N25" s="264">
        <v>110</v>
      </c>
      <c r="O25" s="264">
        <v>85</v>
      </c>
      <c r="P25" s="264">
        <v>70</v>
      </c>
      <c r="Q25" s="264">
        <v>0</v>
      </c>
      <c r="R25" s="264">
        <v>0</v>
      </c>
      <c r="S25" s="264">
        <v>0</v>
      </c>
      <c r="T25" s="264"/>
      <c r="U25" s="262">
        <f t="shared" si="0"/>
        <v>410</v>
      </c>
      <c r="V25" s="264"/>
      <c r="W25" s="264">
        <f>'FY14 vs. ceiling by LEA'!W25</f>
        <v>1620</v>
      </c>
    </row>
    <row r="26" spans="1:24">
      <c r="A26" s="264" t="s">
        <v>488</v>
      </c>
      <c r="B26" s="264">
        <v>0</v>
      </c>
      <c r="C26" s="264">
        <v>0</v>
      </c>
      <c r="D26" s="264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105</v>
      </c>
      <c r="K26" s="264">
        <v>90</v>
      </c>
      <c r="L26" s="264">
        <v>80</v>
      </c>
      <c r="M26" s="264">
        <v>30</v>
      </c>
      <c r="N26" s="264"/>
      <c r="O26" s="264"/>
      <c r="P26" s="264"/>
      <c r="Q26" s="264">
        <v>0</v>
      </c>
      <c r="R26" s="264">
        <v>0</v>
      </c>
      <c r="S26" s="264">
        <v>0</v>
      </c>
      <c r="T26" s="264"/>
      <c r="U26" s="262">
        <f>SUM(B26:T26)</f>
        <v>305</v>
      </c>
      <c r="V26" s="264"/>
      <c r="W26" s="264"/>
    </row>
    <row r="27" spans="1:24">
      <c r="A27" s="264" t="s">
        <v>489</v>
      </c>
      <c r="B27" s="264">
        <v>0</v>
      </c>
      <c r="C27" s="264">
        <v>0</v>
      </c>
      <c r="D27" s="264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/>
      <c r="K27" s="264"/>
      <c r="L27" s="264"/>
      <c r="M27" s="264">
        <v>130</v>
      </c>
      <c r="N27" s="264">
        <v>100</v>
      </c>
      <c r="O27" s="264">
        <v>80</v>
      </c>
      <c r="P27" s="264">
        <v>80</v>
      </c>
      <c r="Q27" s="264">
        <v>0</v>
      </c>
      <c r="R27" s="264">
        <v>0</v>
      </c>
      <c r="S27" s="264">
        <v>0</v>
      </c>
      <c r="T27" s="264"/>
      <c r="U27" s="262">
        <f>SUM(B27:T27)</f>
        <v>390</v>
      </c>
      <c r="V27" s="264"/>
      <c r="W27" s="264"/>
    </row>
    <row r="28" spans="1:24">
      <c r="A28" s="264" t="s">
        <v>490</v>
      </c>
      <c r="B28" s="264">
        <v>0</v>
      </c>
      <c r="C28" s="264">
        <v>0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110</v>
      </c>
      <c r="K28" s="264">
        <v>106</v>
      </c>
      <c r="L28" s="264">
        <v>96</v>
      </c>
      <c r="M28" s="264"/>
      <c r="N28" s="264"/>
      <c r="O28" s="264"/>
      <c r="P28" s="264"/>
      <c r="Q28" s="264">
        <v>0</v>
      </c>
      <c r="R28" s="264">
        <v>0</v>
      </c>
      <c r="S28" s="264">
        <v>0</v>
      </c>
      <c r="T28" s="264"/>
      <c r="U28" s="262">
        <f t="shared" si="0"/>
        <v>312</v>
      </c>
      <c r="V28" s="264"/>
      <c r="W28" s="264"/>
    </row>
    <row r="29" spans="1:24">
      <c r="A29" s="264" t="s">
        <v>491</v>
      </c>
      <c r="B29" s="264">
        <v>72</v>
      </c>
      <c r="C29" s="264">
        <v>81</v>
      </c>
      <c r="D29" s="264">
        <v>63</v>
      </c>
      <c r="E29" s="264">
        <v>85</v>
      </c>
      <c r="F29" s="264">
        <v>76</v>
      </c>
      <c r="G29" s="264">
        <v>50</v>
      </c>
      <c r="H29" s="264">
        <v>48</v>
      </c>
      <c r="I29" s="264">
        <v>45</v>
      </c>
      <c r="J29" s="264"/>
      <c r="K29" s="264"/>
      <c r="L29" s="264"/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/>
      <c r="U29" s="262">
        <f t="shared" si="0"/>
        <v>520</v>
      </c>
      <c r="V29" s="264"/>
      <c r="W29" s="267">
        <f>'FY14 vs. ceiling by LEA'!W29</f>
        <v>4570</v>
      </c>
    </row>
    <row r="30" spans="1:24">
      <c r="A30" s="264" t="s">
        <v>492</v>
      </c>
      <c r="B30" s="264">
        <v>102</v>
      </c>
      <c r="C30" s="264">
        <v>114</v>
      </c>
      <c r="D30" s="264">
        <v>84</v>
      </c>
      <c r="E30" s="264"/>
      <c r="F30" s="264"/>
      <c r="G30" s="264"/>
      <c r="H30" s="264"/>
      <c r="I30" s="264"/>
      <c r="J30" s="264"/>
      <c r="K30" s="264"/>
      <c r="L30" s="264"/>
      <c r="M30" s="264"/>
      <c r="N30" s="264">
        <v>0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/>
      <c r="U30" s="262">
        <f t="shared" si="0"/>
        <v>300</v>
      </c>
      <c r="V30" s="264"/>
      <c r="W30" s="264"/>
    </row>
    <row r="31" spans="1:24">
      <c r="A31" s="264" t="s">
        <v>493</v>
      </c>
      <c r="B31" s="264">
        <v>114</v>
      </c>
      <c r="C31" s="264">
        <v>66</v>
      </c>
      <c r="D31" s="264">
        <v>60</v>
      </c>
      <c r="E31" s="264">
        <v>45</v>
      </c>
      <c r="F31" s="264">
        <v>42</v>
      </c>
      <c r="G31" s="264">
        <v>33</v>
      </c>
      <c r="H31" s="264">
        <v>37</v>
      </c>
      <c r="I31" s="264">
        <v>25</v>
      </c>
      <c r="J31" s="264"/>
      <c r="K31" s="264"/>
      <c r="L31" s="264"/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v>0</v>
      </c>
      <c r="S31" s="264">
        <v>0</v>
      </c>
      <c r="T31" s="264"/>
      <c r="U31" s="262">
        <f t="shared" si="0"/>
        <v>422</v>
      </c>
      <c r="V31" s="264"/>
      <c r="W31" s="264"/>
      <c r="X31" s="264" t="s">
        <v>494</v>
      </c>
    </row>
    <row r="32" spans="1:24">
      <c r="A32" s="264" t="s">
        <v>495</v>
      </c>
      <c r="B32" s="264">
        <v>60</v>
      </c>
      <c r="C32" s="264">
        <v>60</v>
      </c>
      <c r="D32" s="264">
        <v>60</v>
      </c>
      <c r="E32" s="264">
        <v>46</v>
      </c>
      <c r="F32" s="264">
        <v>22</v>
      </c>
      <c r="G32" s="264">
        <v>20</v>
      </c>
      <c r="H32" s="264">
        <v>20</v>
      </c>
      <c r="I32" s="264">
        <v>20</v>
      </c>
      <c r="J32" s="264"/>
      <c r="K32" s="264"/>
      <c r="L32" s="264"/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0</v>
      </c>
      <c r="T32" s="264"/>
      <c r="U32" s="262">
        <f t="shared" si="0"/>
        <v>308</v>
      </c>
      <c r="V32" s="264"/>
      <c r="W32" s="264"/>
    </row>
    <row r="33" spans="1:25">
      <c r="A33" s="264" t="s">
        <v>496</v>
      </c>
      <c r="B33" s="264"/>
      <c r="C33" s="264"/>
      <c r="D33" s="264">
        <v>18</v>
      </c>
      <c r="E33" s="264">
        <v>18</v>
      </c>
      <c r="F33" s="264">
        <v>18</v>
      </c>
      <c r="G33" s="264">
        <v>19</v>
      </c>
      <c r="H33" s="264">
        <v>16</v>
      </c>
      <c r="I33" s="264">
        <v>16</v>
      </c>
      <c r="J33" s="264">
        <v>15</v>
      </c>
      <c r="K33" s="264">
        <v>15</v>
      </c>
      <c r="L33" s="264">
        <v>15</v>
      </c>
      <c r="M33" s="264">
        <v>0</v>
      </c>
      <c r="N33" s="264">
        <v>0</v>
      </c>
      <c r="O33" s="264">
        <v>0</v>
      </c>
      <c r="P33" s="264">
        <v>0</v>
      </c>
      <c r="Q33" s="264">
        <v>0</v>
      </c>
      <c r="R33" s="264">
        <v>0</v>
      </c>
      <c r="S33" s="264">
        <v>0</v>
      </c>
      <c r="T33" s="264"/>
      <c r="U33" s="262">
        <f t="shared" si="0"/>
        <v>150</v>
      </c>
      <c r="V33" s="264"/>
      <c r="W33" s="264"/>
      <c r="X33" s="267" t="s">
        <v>497</v>
      </c>
      <c r="Y33" s="267"/>
    </row>
    <row r="34" spans="1:25">
      <c r="A34" s="264" t="s">
        <v>498</v>
      </c>
      <c r="B34" s="264">
        <v>0</v>
      </c>
      <c r="C34" s="264">
        <v>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0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150</v>
      </c>
      <c r="R34" s="264">
        <v>0</v>
      </c>
      <c r="S34" s="264">
        <v>0</v>
      </c>
      <c r="T34" s="264"/>
      <c r="U34" s="262">
        <f t="shared" si="0"/>
        <v>150</v>
      </c>
      <c r="V34" s="264"/>
      <c r="W34" s="264">
        <f>'FY14 vs. ceiling by LEA'!W34</f>
        <v>150</v>
      </c>
    </row>
    <row r="35" spans="1:25">
      <c r="A35" s="264" t="s">
        <v>499</v>
      </c>
      <c r="B35" s="264">
        <v>30</v>
      </c>
      <c r="C35" s="264">
        <v>32</v>
      </c>
      <c r="D35" s="264">
        <v>32</v>
      </c>
      <c r="E35" s="264">
        <v>17</v>
      </c>
      <c r="F35" s="264">
        <v>13</v>
      </c>
      <c r="G35" s="266">
        <v>12</v>
      </c>
      <c r="H35" s="264">
        <v>0</v>
      </c>
      <c r="I35" s="264">
        <v>0</v>
      </c>
      <c r="J35" s="264">
        <v>0</v>
      </c>
      <c r="K35" s="264">
        <v>0</v>
      </c>
      <c r="L35" s="264">
        <v>0</v>
      </c>
      <c r="M35" s="264">
        <v>0</v>
      </c>
      <c r="N35" s="264">
        <v>0</v>
      </c>
      <c r="O35" s="264">
        <v>0</v>
      </c>
      <c r="P35" s="264">
        <v>0</v>
      </c>
      <c r="Q35" s="264">
        <v>0</v>
      </c>
      <c r="R35" s="264">
        <v>0</v>
      </c>
      <c r="S35" s="264">
        <v>0</v>
      </c>
      <c r="T35" s="264"/>
      <c r="U35" s="262">
        <f t="shared" si="0"/>
        <v>136</v>
      </c>
      <c r="V35" s="264"/>
      <c r="W35" s="264">
        <f>'FY14 vs. ceiling by LEA'!W35</f>
        <v>135</v>
      </c>
      <c r="X35" s="264" t="s">
        <v>500</v>
      </c>
    </row>
    <row r="36" spans="1:25">
      <c r="A36" s="264" t="s">
        <v>501</v>
      </c>
      <c r="B36" s="264">
        <v>20</v>
      </c>
      <c r="C36" s="264">
        <v>46</v>
      </c>
      <c r="D36" s="264">
        <v>48</v>
      </c>
      <c r="E36" s="264">
        <v>48</v>
      </c>
      <c r="F36" s="264">
        <v>46</v>
      </c>
      <c r="G36" s="264">
        <v>40</v>
      </c>
      <c r="H36" s="264">
        <v>68</v>
      </c>
      <c r="I36" s="264">
        <v>34</v>
      </c>
      <c r="J36" s="266">
        <v>30</v>
      </c>
      <c r="K36" s="264">
        <v>0</v>
      </c>
      <c r="L36" s="264">
        <v>0</v>
      </c>
      <c r="M36" s="264">
        <v>0</v>
      </c>
      <c r="N36" s="264">
        <v>0</v>
      </c>
      <c r="O36" s="264">
        <v>0</v>
      </c>
      <c r="P36" s="264">
        <v>0</v>
      </c>
      <c r="Q36" s="264">
        <v>0</v>
      </c>
      <c r="R36" s="264">
        <v>0</v>
      </c>
      <c r="S36" s="264">
        <v>0</v>
      </c>
      <c r="T36" s="264"/>
      <c r="U36" s="262">
        <f t="shared" si="0"/>
        <v>380</v>
      </c>
      <c r="V36" s="264"/>
      <c r="W36" s="264">
        <f>'FY14 vs. ceiling by LEA'!W36</f>
        <v>550</v>
      </c>
      <c r="X36" s="264" t="s">
        <v>502</v>
      </c>
    </row>
    <row r="37" spans="1:25">
      <c r="A37" s="264" t="s">
        <v>503</v>
      </c>
      <c r="B37" s="264">
        <v>72</v>
      </c>
      <c r="C37" s="264">
        <v>66</v>
      </c>
      <c r="D37" s="264">
        <v>69</v>
      </c>
      <c r="E37" s="264">
        <v>66</v>
      </c>
      <c r="F37" s="264">
        <v>66</v>
      </c>
      <c r="G37" s="264">
        <v>69</v>
      </c>
      <c r="H37" s="264"/>
      <c r="I37" s="264"/>
      <c r="J37" s="264"/>
      <c r="K37" s="264"/>
      <c r="L37" s="264"/>
      <c r="M37" s="264"/>
      <c r="N37" s="264">
        <v>0</v>
      </c>
      <c r="O37" s="264">
        <v>0</v>
      </c>
      <c r="P37" s="264">
        <v>0</v>
      </c>
      <c r="Q37" s="264">
        <v>0</v>
      </c>
      <c r="R37" s="264">
        <v>0</v>
      </c>
      <c r="S37" s="264">
        <v>0</v>
      </c>
      <c r="T37" s="264"/>
      <c r="U37" s="262">
        <f t="shared" si="0"/>
        <v>408</v>
      </c>
      <c r="V37" s="264"/>
      <c r="W37" s="264">
        <f>'FY14 vs. ceiling by LEA'!W37</f>
        <v>1150</v>
      </c>
      <c r="X37" s="264" t="s">
        <v>504</v>
      </c>
    </row>
    <row r="38" spans="1:25">
      <c r="A38" s="264" t="s">
        <v>505</v>
      </c>
      <c r="B38" s="264"/>
      <c r="C38" s="264"/>
      <c r="D38" s="264"/>
      <c r="E38" s="264"/>
      <c r="F38" s="264"/>
      <c r="G38" s="264"/>
      <c r="H38" s="266">
        <v>75</v>
      </c>
      <c r="I38" s="264"/>
      <c r="J38" s="264"/>
      <c r="K38" s="264"/>
      <c r="L38" s="264"/>
      <c r="M38" s="264"/>
      <c r="N38" s="264">
        <v>0</v>
      </c>
      <c r="O38" s="264">
        <v>0</v>
      </c>
      <c r="P38" s="264">
        <v>0</v>
      </c>
      <c r="Q38" s="264">
        <v>0</v>
      </c>
      <c r="R38" s="264">
        <v>0</v>
      </c>
      <c r="S38" s="264">
        <v>0</v>
      </c>
      <c r="T38" s="264"/>
      <c r="U38" s="262">
        <f t="shared" si="0"/>
        <v>75</v>
      </c>
      <c r="V38" s="264"/>
      <c r="W38" s="264"/>
    </row>
    <row r="39" spans="1:25">
      <c r="A39" s="264" t="s">
        <v>506</v>
      </c>
      <c r="B39" s="264">
        <v>72</v>
      </c>
      <c r="C39" s="264">
        <v>66</v>
      </c>
      <c r="D39" s="264">
        <v>69</v>
      </c>
      <c r="E39" s="264">
        <v>66</v>
      </c>
      <c r="F39" s="264">
        <v>66</v>
      </c>
      <c r="G39" s="264">
        <v>69</v>
      </c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2">
        <f t="shared" si="0"/>
        <v>408</v>
      </c>
      <c r="V39" s="264"/>
      <c r="W39" s="264"/>
      <c r="X39" s="264" t="s">
        <v>507</v>
      </c>
    </row>
    <row r="40" spans="1:25">
      <c r="A40" s="264" t="s">
        <v>508</v>
      </c>
      <c r="B40" s="264"/>
      <c r="C40" s="264"/>
      <c r="D40" s="264"/>
      <c r="E40" s="264"/>
      <c r="F40" s="264"/>
      <c r="G40" s="264"/>
      <c r="H40" s="264">
        <v>75</v>
      </c>
      <c r="I40" s="264">
        <v>69</v>
      </c>
      <c r="J40" s="264">
        <v>63</v>
      </c>
      <c r="K40" s="264">
        <v>45</v>
      </c>
      <c r="L40" s="264">
        <v>32</v>
      </c>
      <c r="M40" s="264">
        <v>0</v>
      </c>
      <c r="N40" s="264">
        <v>0</v>
      </c>
      <c r="O40" s="264">
        <v>0</v>
      </c>
      <c r="P40" s="264">
        <v>0</v>
      </c>
      <c r="Q40" s="264">
        <v>0</v>
      </c>
      <c r="R40" s="264">
        <v>0</v>
      </c>
      <c r="S40" s="264">
        <v>0</v>
      </c>
      <c r="T40" s="264"/>
      <c r="U40" s="262">
        <f t="shared" si="0"/>
        <v>284</v>
      </c>
      <c r="V40" s="264"/>
      <c r="W40" s="264"/>
    </row>
    <row r="41" spans="1:25">
      <c r="A41" s="264" t="s">
        <v>509</v>
      </c>
      <c r="B41" s="264">
        <v>55</v>
      </c>
      <c r="C41" s="264">
        <v>55</v>
      </c>
      <c r="D41" s="264">
        <v>40</v>
      </c>
      <c r="E41" s="264">
        <v>40</v>
      </c>
      <c r="F41" s="264">
        <v>22</v>
      </c>
      <c r="G41" s="264">
        <v>20</v>
      </c>
      <c r="H41" s="266">
        <v>18</v>
      </c>
      <c r="I41" s="264">
        <v>0</v>
      </c>
      <c r="J41" s="264">
        <v>0</v>
      </c>
      <c r="K41" s="264">
        <v>0</v>
      </c>
      <c r="L41" s="264">
        <v>0</v>
      </c>
      <c r="M41" s="264">
        <v>0</v>
      </c>
      <c r="N41" s="264">
        <v>0</v>
      </c>
      <c r="O41" s="264">
        <v>0</v>
      </c>
      <c r="P41" s="264">
        <v>0</v>
      </c>
      <c r="Q41" s="264">
        <v>0</v>
      </c>
      <c r="R41" s="264">
        <v>0</v>
      </c>
      <c r="S41" s="264">
        <v>0</v>
      </c>
      <c r="T41" s="264"/>
      <c r="U41" s="262">
        <f t="shared" si="0"/>
        <v>250</v>
      </c>
      <c r="V41" s="264"/>
      <c r="W41" s="264">
        <f>'FY14 vs. ceiling by LEA'!W41</f>
        <v>430</v>
      </c>
      <c r="X41" s="264" t="s">
        <v>510</v>
      </c>
    </row>
    <row r="42" spans="1:25">
      <c r="A42" s="264" t="s">
        <v>511</v>
      </c>
      <c r="B42" s="264"/>
      <c r="C42" s="264"/>
      <c r="D42" s="264"/>
      <c r="E42" s="264"/>
      <c r="F42" s="264"/>
      <c r="G42" s="264"/>
      <c r="H42" s="264">
        <v>75</v>
      </c>
      <c r="I42" s="264">
        <v>50</v>
      </c>
      <c r="J42" s="264">
        <v>100</v>
      </c>
      <c r="K42" s="264">
        <v>100</v>
      </c>
      <c r="L42" s="264">
        <v>100</v>
      </c>
      <c r="M42" s="264"/>
      <c r="N42" s="264"/>
      <c r="O42" s="264"/>
      <c r="P42" s="264">
        <v>0</v>
      </c>
      <c r="Q42" s="264">
        <v>0</v>
      </c>
      <c r="R42" s="264">
        <v>0</v>
      </c>
      <c r="S42" s="264">
        <v>0</v>
      </c>
      <c r="T42" s="264"/>
      <c r="U42" s="262">
        <f t="shared" si="0"/>
        <v>425</v>
      </c>
      <c r="V42" s="264"/>
      <c r="W42" s="264">
        <f>'FY14 vs. ceiling by LEA'!W42</f>
        <v>1100</v>
      </c>
      <c r="X42" s="264" t="s">
        <v>512</v>
      </c>
    </row>
    <row r="43" spans="1:25">
      <c r="A43" s="264" t="s">
        <v>513</v>
      </c>
      <c r="B43" s="264">
        <v>42</v>
      </c>
      <c r="C43" s="264">
        <v>42</v>
      </c>
      <c r="D43" s="264">
        <v>46</v>
      </c>
      <c r="E43" s="264">
        <v>50</v>
      </c>
      <c r="F43" s="264">
        <v>50</v>
      </c>
      <c r="G43" s="264">
        <v>75</v>
      </c>
      <c r="H43" s="264"/>
      <c r="I43" s="264"/>
      <c r="J43" s="264"/>
      <c r="K43" s="264"/>
      <c r="L43" s="264"/>
      <c r="M43" s="264">
        <v>131</v>
      </c>
      <c r="N43" s="264">
        <v>100</v>
      </c>
      <c r="O43" s="266">
        <v>88</v>
      </c>
      <c r="P43" s="264"/>
      <c r="Q43" s="264"/>
      <c r="R43" s="264"/>
      <c r="S43" s="264"/>
      <c r="T43" s="264"/>
      <c r="U43" s="262">
        <f t="shared" si="0"/>
        <v>624</v>
      </c>
      <c r="V43" s="264"/>
      <c r="W43" s="264"/>
    </row>
    <row r="44" spans="1:25">
      <c r="A44" s="264" t="s">
        <v>514</v>
      </c>
      <c r="B44" s="264">
        <v>112</v>
      </c>
      <c r="C44" s="264">
        <v>144</v>
      </c>
      <c r="D44" s="264">
        <v>140</v>
      </c>
      <c r="E44" s="264">
        <v>140</v>
      </c>
      <c r="F44" s="264">
        <v>86</v>
      </c>
      <c r="G44" s="264">
        <v>53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v>0</v>
      </c>
      <c r="N44" s="264">
        <v>0</v>
      </c>
      <c r="O44" s="264">
        <v>0</v>
      </c>
      <c r="P44" s="264">
        <v>0</v>
      </c>
      <c r="Q44" s="264">
        <v>0</v>
      </c>
      <c r="R44" s="264">
        <v>0</v>
      </c>
      <c r="S44" s="264">
        <v>0</v>
      </c>
      <c r="T44" s="264"/>
      <c r="U44" s="262">
        <f>SUM(B44:T44)</f>
        <v>675</v>
      </c>
      <c r="V44" s="264"/>
      <c r="W44" s="264">
        <f>'FY14 vs. ceiling by LEA'!W44</f>
        <v>780</v>
      </c>
    </row>
    <row r="45" spans="1:25">
      <c r="A45" s="264" t="s">
        <v>515</v>
      </c>
      <c r="B45" s="264">
        <v>32</v>
      </c>
      <c r="C45" s="264">
        <v>32</v>
      </c>
      <c r="D45" s="264">
        <v>40</v>
      </c>
      <c r="E45" s="264">
        <v>40</v>
      </c>
      <c r="F45" s="264">
        <v>20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v>0</v>
      </c>
      <c r="N45" s="264">
        <v>0</v>
      </c>
      <c r="O45" s="264">
        <v>0</v>
      </c>
      <c r="P45" s="264">
        <v>0</v>
      </c>
      <c r="Q45" s="264">
        <v>0</v>
      </c>
      <c r="R45" s="264">
        <v>0</v>
      </c>
      <c r="S45" s="264">
        <v>0</v>
      </c>
      <c r="T45" s="264"/>
      <c r="U45" s="262">
        <f t="shared" si="0"/>
        <v>164</v>
      </c>
      <c r="V45" s="264"/>
      <c r="W45" s="264"/>
    </row>
    <row r="46" spans="1:25">
      <c r="A46" s="264" t="s">
        <v>516</v>
      </c>
      <c r="B46" s="264">
        <v>13</v>
      </c>
      <c r="C46" s="264">
        <v>24</v>
      </c>
      <c r="D46" s="264">
        <v>22</v>
      </c>
      <c r="E46" s="264">
        <v>42</v>
      </c>
      <c r="F46" s="264">
        <v>36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64">
        <v>0</v>
      </c>
      <c r="N46" s="264">
        <v>0</v>
      </c>
      <c r="O46" s="264">
        <v>0</v>
      </c>
      <c r="P46" s="264">
        <v>0</v>
      </c>
      <c r="Q46" s="264">
        <v>0</v>
      </c>
      <c r="R46" s="264">
        <v>0</v>
      </c>
      <c r="S46" s="264">
        <v>0</v>
      </c>
      <c r="T46" s="264"/>
      <c r="U46" s="262">
        <f t="shared" si="0"/>
        <v>137</v>
      </c>
      <c r="V46" s="264"/>
      <c r="W46" s="264">
        <f>'FY14 vs. ceiling by LEA'!W46</f>
        <v>330</v>
      </c>
    </row>
    <row r="47" spans="1:25">
      <c r="A47" s="264" t="s">
        <v>517</v>
      </c>
      <c r="B47" s="264">
        <v>26</v>
      </c>
      <c r="C47" s="264">
        <v>24</v>
      </c>
      <c r="D47" s="264">
        <v>22</v>
      </c>
      <c r="E47" s="264"/>
      <c r="F47" s="264"/>
      <c r="G47" s="264">
        <v>40</v>
      </c>
      <c r="H47" s="264">
        <v>0</v>
      </c>
      <c r="I47" s="264">
        <v>0</v>
      </c>
      <c r="J47" s="264">
        <v>0</v>
      </c>
      <c r="K47" s="264">
        <v>0</v>
      </c>
      <c r="L47" s="264">
        <v>0</v>
      </c>
      <c r="M47" s="264">
        <v>0</v>
      </c>
      <c r="N47" s="264">
        <v>0</v>
      </c>
      <c r="O47" s="264">
        <v>0</v>
      </c>
      <c r="P47" s="264">
        <v>0</v>
      </c>
      <c r="Q47" s="264">
        <v>0</v>
      </c>
      <c r="R47" s="264">
        <v>0</v>
      </c>
      <c r="S47" s="264">
        <v>0</v>
      </c>
      <c r="T47" s="264"/>
      <c r="U47" s="262">
        <f t="shared" si="0"/>
        <v>112</v>
      </c>
      <c r="V47" s="264"/>
      <c r="W47" s="264"/>
    </row>
    <row r="48" spans="1:25">
      <c r="A48" s="264" t="s">
        <v>518</v>
      </c>
      <c r="B48" s="264">
        <v>34</v>
      </c>
      <c r="C48" s="264">
        <v>11</v>
      </c>
      <c r="D48" s="264">
        <v>0</v>
      </c>
      <c r="E48" s="264">
        <v>0</v>
      </c>
      <c r="F48" s="264">
        <v>0</v>
      </c>
      <c r="G48" s="264">
        <v>0</v>
      </c>
      <c r="H48" s="264">
        <v>0</v>
      </c>
      <c r="I48" s="264">
        <v>0</v>
      </c>
      <c r="J48" s="264">
        <v>0</v>
      </c>
      <c r="K48" s="264">
        <v>0</v>
      </c>
      <c r="L48" s="264">
        <v>0</v>
      </c>
      <c r="M48" s="264">
        <v>0</v>
      </c>
      <c r="N48" s="264">
        <v>0</v>
      </c>
      <c r="O48" s="264">
        <v>0</v>
      </c>
      <c r="P48" s="264">
        <v>0</v>
      </c>
      <c r="Q48" s="264">
        <v>0</v>
      </c>
      <c r="R48" s="264">
        <v>0</v>
      </c>
      <c r="S48" s="264">
        <v>416</v>
      </c>
      <c r="T48" s="264"/>
      <c r="U48" s="262">
        <f t="shared" si="0"/>
        <v>461</v>
      </c>
      <c r="V48" s="264"/>
      <c r="W48" s="264">
        <f>'FY14 vs. ceiling by LEA'!W48</f>
        <v>461</v>
      </c>
    </row>
    <row r="49" spans="1:24">
      <c r="A49" s="264" t="s">
        <v>519</v>
      </c>
      <c r="B49" s="264">
        <v>24</v>
      </c>
      <c r="C49" s="264">
        <v>24</v>
      </c>
      <c r="D49" s="264">
        <v>48</v>
      </c>
      <c r="E49" s="264">
        <v>48</v>
      </c>
      <c r="F49" s="264">
        <v>48</v>
      </c>
      <c r="G49" s="264">
        <v>48</v>
      </c>
      <c r="H49" s="264">
        <v>40</v>
      </c>
      <c r="I49" s="264">
        <v>40</v>
      </c>
      <c r="J49" s="264">
        <v>30</v>
      </c>
      <c r="K49" s="264">
        <v>0</v>
      </c>
      <c r="L49" s="264">
        <v>0</v>
      </c>
      <c r="M49" s="264">
        <v>0</v>
      </c>
      <c r="N49" s="264">
        <v>0</v>
      </c>
      <c r="O49" s="264">
        <v>0</v>
      </c>
      <c r="P49" s="264">
        <v>0</v>
      </c>
      <c r="Q49" s="264">
        <v>0</v>
      </c>
      <c r="R49" s="264">
        <v>0</v>
      </c>
      <c r="S49" s="264">
        <v>0</v>
      </c>
      <c r="T49" s="264"/>
      <c r="U49" s="262">
        <f t="shared" si="0"/>
        <v>350</v>
      </c>
      <c r="V49" s="264"/>
      <c r="W49" s="264">
        <f>'FY14 vs. ceiling by LEA'!W49</f>
        <v>350</v>
      </c>
      <c r="X49" s="264" t="s">
        <v>520</v>
      </c>
    </row>
    <row r="50" spans="1:24">
      <c r="A50" s="264" t="s">
        <v>318</v>
      </c>
      <c r="B50" s="264">
        <v>100</v>
      </c>
      <c r="C50" s="264">
        <v>120</v>
      </c>
      <c r="D50" s="264">
        <v>90</v>
      </c>
      <c r="E50" s="264">
        <v>90</v>
      </c>
      <c r="F50" s="264">
        <v>80</v>
      </c>
      <c r="G50" s="264">
        <v>70</v>
      </c>
      <c r="H50" s="264">
        <v>50</v>
      </c>
      <c r="I50" s="266">
        <v>50</v>
      </c>
      <c r="J50" s="264"/>
      <c r="K50" s="264"/>
      <c r="L50" s="264"/>
      <c r="M50" s="264">
        <v>0</v>
      </c>
      <c r="N50" s="264">
        <v>0</v>
      </c>
      <c r="O50" s="264">
        <v>0</v>
      </c>
      <c r="P50" s="264">
        <v>0</v>
      </c>
      <c r="Q50" s="264">
        <v>0</v>
      </c>
      <c r="R50" s="264">
        <v>0</v>
      </c>
      <c r="S50" s="264">
        <v>0</v>
      </c>
      <c r="T50" s="264"/>
      <c r="U50" s="262">
        <f t="shared" si="0"/>
        <v>650</v>
      </c>
      <c r="V50" s="264"/>
      <c r="W50" s="264">
        <f>'FY14 vs. ceiling by LEA'!W50</f>
        <v>650</v>
      </c>
      <c r="X50" s="264" t="s">
        <v>521</v>
      </c>
    </row>
    <row r="51" spans="1:24">
      <c r="A51" s="264" t="s">
        <v>522</v>
      </c>
      <c r="B51" s="264">
        <v>68</v>
      </c>
      <c r="C51" s="264">
        <v>72</v>
      </c>
      <c r="D51" s="264">
        <v>80</v>
      </c>
      <c r="E51" s="264">
        <v>100</v>
      </c>
      <c r="F51" s="264">
        <v>75</v>
      </c>
      <c r="G51" s="264">
        <v>50</v>
      </c>
      <c r="H51" s="264">
        <v>25</v>
      </c>
      <c r="I51" s="264">
        <v>25</v>
      </c>
      <c r="J51" s="264">
        <v>27</v>
      </c>
      <c r="K51" s="264">
        <v>81</v>
      </c>
      <c r="L51" s="264">
        <v>81</v>
      </c>
      <c r="M51" s="264"/>
      <c r="N51" s="264"/>
      <c r="O51" s="264"/>
      <c r="P51" s="264"/>
      <c r="Q51" s="264">
        <v>0</v>
      </c>
      <c r="R51" s="264">
        <v>0</v>
      </c>
      <c r="S51" s="264">
        <v>0</v>
      </c>
      <c r="T51" s="264"/>
      <c r="U51" s="262">
        <f t="shared" si="0"/>
        <v>684</v>
      </c>
      <c r="V51" s="264"/>
      <c r="W51" s="264">
        <f>'FY14 vs. ceiling by LEA'!W51</f>
        <v>4727</v>
      </c>
    </row>
    <row r="52" spans="1:24">
      <c r="A52" s="264" t="s">
        <v>523</v>
      </c>
      <c r="B52" s="264">
        <v>51</v>
      </c>
      <c r="C52" s="264">
        <v>54</v>
      </c>
      <c r="D52" s="264">
        <v>60</v>
      </c>
      <c r="E52" s="264">
        <v>75</v>
      </c>
      <c r="F52" s="264">
        <v>75</v>
      </c>
      <c r="G52" s="264">
        <v>75</v>
      </c>
      <c r="H52" s="264">
        <v>75</v>
      </c>
      <c r="I52" s="264">
        <v>75</v>
      </c>
      <c r="J52" s="264">
        <v>81</v>
      </c>
      <c r="K52" s="264">
        <v>81</v>
      </c>
      <c r="L52" s="264">
        <v>81</v>
      </c>
      <c r="M52" s="264"/>
      <c r="N52" s="264"/>
      <c r="O52" s="264"/>
      <c r="P52" s="264"/>
      <c r="Q52" s="264">
        <v>0</v>
      </c>
      <c r="R52" s="264">
        <v>0</v>
      </c>
      <c r="S52" s="264">
        <v>0</v>
      </c>
      <c r="T52" s="264"/>
      <c r="U52" s="262">
        <f t="shared" si="0"/>
        <v>783</v>
      </c>
      <c r="V52" s="264"/>
      <c r="W52" s="264"/>
    </row>
    <row r="53" spans="1:24">
      <c r="A53" s="264" t="s">
        <v>524</v>
      </c>
      <c r="B53" s="264">
        <v>0</v>
      </c>
      <c r="C53" s="264">
        <v>0</v>
      </c>
      <c r="D53" s="264">
        <v>0</v>
      </c>
      <c r="E53" s="264">
        <v>0</v>
      </c>
      <c r="F53" s="264">
        <v>0</v>
      </c>
      <c r="G53" s="264">
        <v>0</v>
      </c>
      <c r="H53" s="264">
        <v>0</v>
      </c>
      <c r="I53" s="264">
        <v>0</v>
      </c>
      <c r="J53" s="264">
        <v>0</v>
      </c>
      <c r="K53" s="264">
        <v>0</v>
      </c>
      <c r="L53" s="264">
        <v>0</v>
      </c>
      <c r="M53" s="264">
        <v>350</v>
      </c>
      <c r="N53" s="264">
        <v>300</v>
      </c>
      <c r="O53" s="264">
        <v>300</v>
      </c>
      <c r="P53" s="264">
        <v>275</v>
      </c>
      <c r="Q53" s="264">
        <v>0</v>
      </c>
      <c r="R53" s="264">
        <v>0</v>
      </c>
      <c r="S53" s="264">
        <v>0</v>
      </c>
      <c r="T53" s="264"/>
      <c r="U53" s="262">
        <f>SUM(B53:T53)</f>
        <v>1225</v>
      </c>
      <c r="V53" s="264"/>
      <c r="W53" s="264"/>
    </row>
    <row r="54" spans="1:24">
      <c r="A54" s="264" t="s">
        <v>525</v>
      </c>
      <c r="B54" s="264">
        <v>51</v>
      </c>
      <c r="C54" s="264">
        <v>54</v>
      </c>
      <c r="D54" s="264">
        <v>80</v>
      </c>
      <c r="E54" s="264">
        <v>75</v>
      </c>
      <c r="F54" s="264">
        <v>75</v>
      </c>
      <c r="G54" s="264">
        <v>75</v>
      </c>
      <c r="H54" s="264">
        <v>75</v>
      </c>
      <c r="I54" s="264">
        <v>75</v>
      </c>
      <c r="J54" s="264">
        <v>0</v>
      </c>
      <c r="K54" s="264">
        <v>0</v>
      </c>
      <c r="L54" s="264">
        <v>0</v>
      </c>
      <c r="M54" s="264">
        <v>0</v>
      </c>
      <c r="N54" s="264">
        <v>0</v>
      </c>
      <c r="O54" s="264">
        <v>0</v>
      </c>
      <c r="P54" s="264">
        <v>0</v>
      </c>
      <c r="Q54" s="264">
        <v>0</v>
      </c>
      <c r="R54" s="264">
        <v>0</v>
      </c>
      <c r="S54" s="264">
        <v>0</v>
      </c>
      <c r="T54" s="264"/>
      <c r="U54" s="262">
        <f t="shared" si="0"/>
        <v>560</v>
      </c>
      <c r="V54" s="264"/>
      <c r="W54" s="264"/>
    </row>
    <row r="55" spans="1:24">
      <c r="A55" s="264" t="s">
        <v>526</v>
      </c>
      <c r="B55" s="264">
        <v>0</v>
      </c>
      <c r="C55" s="264">
        <v>0</v>
      </c>
      <c r="D55" s="264">
        <v>0</v>
      </c>
      <c r="E55" s="264">
        <v>0</v>
      </c>
      <c r="F55" s="264">
        <v>0</v>
      </c>
      <c r="G55" s="264">
        <v>0</v>
      </c>
      <c r="H55" s="264">
        <v>0</v>
      </c>
      <c r="I55" s="264">
        <v>0</v>
      </c>
      <c r="J55" s="264">
        <v>75</v>
      </c>
      <c r="K55" s="264">
        <v>65</v>
      </c>
      <c r="L55" s="264">
        <v>83</v>
      </c>
      <c r="M55" s="264">
        <v>75</v>
      </c>
      <c r="N55" s="264">
        <v>81</v>
      </c>
      <c r="O55" s="264">
        <v>30</v>
      </c>
      <c r="P55" s="264">
        <v>0</v>
      </c>
      <c r="Q55" s="264">
        <v>0</v>
      </c>
      <c r="R55" s="264">
        <v>0</v>
      </c>
      <c r="S55" s="264">
        <v>0</v>
      </c>
      <c r="T55" s="264"/>
      <c r="U55" s="262">
        <f t="shared" si="0"/>
        <v>409</v>
      </c>
      <c r="V55" s="264"/>
      <c r="W55" s="264"/>
    </row>
    <row r="56" spans="1:24">
      <c r="A56" s="264" t="s">
        <v>527</v>
      </c>
      <c r="B56" s="264">
        <v>51</v>
      </c>
      <c r="C56" s="264">
        <v>54</v>
      </c>
      <c r="D56" s="264">
        <v>60</v>
      </c>
      <c r="E56" s="264">
        <v>44</v>
      </c>
      <c r="F56" s="264">
        <v>41</v>
      </c>
      <c r="G56" s="264">
        <v>34</v>
      </c>
      <c r="H56" s="264">
        <v>30</v>
      </c>
      <c r="I56" s="264">
        <v>34</v>
      </c>
      <c r="J56" s="264">
        <v>32</v>
      </c>
      <c r="K56" s="264">
        <v>35</v>
      </c>
      <c r="L56" s="264">
        <v>46</v>
      </c>
      <c r="M56" s="264"/>
      <c r="N56" s="264"/>
      <c r="O56" s="264"/>
      <c r="P56" s="264"/>
      <c r="Q56" s="264">
        <v>0</v>
      </c>
      <c r="R56" s="264">
        <v>0</v>
      </c>
      <c r="S56" s="264">
        <v>0</v>
      </c>
      <c r="T56" s="264"/>
      <c r="U56" s="262">
        <f t="shared" si="0"/>
        <v>461</v>
      </c>
      <c r="V56" s="264"/>
      <c r="W56" s="264"/>
    </row>
    <row r="57" spans="1:24">
      <c r="A57" s="264" t="s">
        <v>528</v>
      </c>
      <c r="B57" s="264">
        <v>75</v>
      </c>
      <c r="C57" s="264">
        <v>75</v>
      </c>
      <c r="D57" s="264">
        <v>50</v>
      </c>
      <c r="E57" s="264">
        <v>50</v>
      </c>
      <c r="F57" s="264">
        <v>50</v>
      </c>
      <c r="G57" s="264">
        <v>50</v>
      </c>
      <c r="H57" s="264">
        <v>30</v>
      </c>
      <c r="I57" s="264">
        <v>20</v>
      </c>
      <c r="J57" s="264">
        <v>15</v>
      </c>
      <c r="K57" s="264">
        <v>0</v>
      </c>
      <c r="L57" s="264">
        <v>0</v>
      </c>
      <c r="M57" s="264">
        <v>0</v>
      </c>
      <c r="N57" s="264">
        <v>0</v>
      </c>
      <c r="O57" s="264">
        <v>0</v>
      </c>
      <c r="P57" s="264">
        <v>0</v>
      </c>
      <c r="Q57" s="264">
        <v>0</v>
      </c>
      <c r="R57" s="264">
        <v>0</v>
      </c>
      <c r="S57" s="264">
        <v>0</v>
      </c>
      <c r="T57" s="264"/>
      <c r="U57" s="262">
        <f t="shared" si="0"/>
        <v>415</v>
      </c>
      <c r="V57" s="264"/>
      <c r="W57" s="264">
        <f>'FY14 vs. ceiling by LEA'!W57</f>
        <v>946</v>
      </c>
    </row>
    <row r="58" spans="1:24">
      <c r="A58" s="264" t="s">
        <v>529</v>
      </c>
      <c r="B58" s="264">
        <v>50</v>
      </c>
      <c r="C58" s="264">
        <v>60</v>
      </c>
      <c r="D58" s="264">
        <v>50</v>
      </c>
      <c r="E58" s="264">
        <v>50</v>
      </c>
      <c r="F58" s="264">
        <v>40</v>
      </c>
      <c r="G58" s="264">
        <v>38</v>
      </c>
      <c r="H58" s="264">
        <v>30</v>
      </c>
      <c r="I58" s="264">
        <v>30</v>
      </c>
      <c r="J58" s="264">
        <v>35</v>
      </c>
      <c r="K58" s="264">
        <v>31</v>
      </c>
      <c r="L58" s="264">
        <v>21</v>
      </c>
      <c r="M58" s="264">
        <v>0</v>
      </c>
      <c r="N58" s="264">
        <v>0</v>
      </c>
      <c r="O58" s="264">
        <v>0</v>
      </c>
      <c r="P58" s="264">
        <v>0</v>
      </c>
      <c r="Q58" s="264">
        <v>0</v>
      </c>
      <c r="R58" s="264">
        <v>0</v>
      </c>
      <c r="S58" s="264">
        <v>0</v>
      </c>
      <c r="T58" s="264"/>
      <c r="U58" s="262">
        <f t="shared" si="0"/>
        <v>435</v>
      </c>
      <c r="V58" s="264"/>
      <c r="W58" s="264"/>
    </row>
    <row r="59" spans="1:24">
      <c r="A59" s="264" t="s">
        <v>530</v>
      </c>
      <c r="B59" s="264">
        <v>0</v>
      </c>
      <c r="C59" s="264">
        <v>0</v>
      </c>
      <c r="D59" s="264">
        <v>0</v>
      </c>
      <c r="E59" s="264">
        <v>0</v>
      </c>
      <c r="F59" s="264">
        <v>0</v>
      </c>
      <c r="G59" s="264">
        <v>0</v>
      </c>
      <c r="H59" s="264">
        <v>0</v>
      </c>
      <c r="I59" s="264">
        <v>0</v>
      </c>
      <c r="J59" s="264">
        <v>0</v>
      </c>
      <c r="K59" s="264">
        <v>0</v>
      </c>
      <c r="L59" s="264">
        <v>0</v>
      </c>
      <c r="M59" s="264">
        <v>65</v>
      </c>
      <c r="N59" s="264">
        <v>60</v>
      </c>
      <c r="O59" s="264">
        <v>57</v>
      </c>
      <c r="P59" s="264">
        <v>43</v>
      </c>
      <c r="Q59" s="264">
        <v>0</v>
      </c>
      <c r="R59" s="264">
        <v>0</v>
      </c>
      <c r="S59" s="264">
        <v>0</v>
      </c>
      <c r="T59" s="264"/>
      <c r="U59" s="262">
        <f t="shared" si="0"/>
        <v>225</v>
      </c>
      <c r="V59" s="264"/>
      <c r="W59" s="264">
        <f>'FY14 vs. ceiling by LEA'!W59</f>
        <v>250</v>
      </c>
    </row>
    <row r="60" spans="1:24">
      <c r="A60" s="267" t="s">
        <v>531</v>
      </c>
      <c r="B60" s="264">
        <v>75</v>
      </c>
      <c r="C60" s="264">
        <v>75</v>
      </c>
      <c r="D60" s="264">
        <v>75</v>
      </c>
      <c r="E60" s="264">
        <v>0</v>
      </c>
      <c r="F60" s="264">
        <v>0</v>
      </c>
      <c r="G60" s="264">
        <v>0</v>
      </c>
      <c r="H60" s="264">
        <v>0</v>
      </c>
      <c r="I60" s="264">
        <v>0</v>
      </c>
      <c r="J60" s="264">
        <v>0</v>
      </c>
      <c r="K60" s="264">
        <v>0</v>
      </c>
      <c r="L60" s="264">
        <v>0</v>
      </c>
      <c r="M60" s="264">
        <v>0</v>
      </c>
      <c r="N60" s="264">
        <v>0</v>
      </c>
      <c r="O60" s="264">
        <v>0</v>
      </c>
      <c r="P60" s="264">
        <v>0</v>
      </c>
      <c r="Q60" s="264">
        <v>0</v>
      </c>
      <c r="R60" s="264">
        <v>0</v>
      </c>
      <c r="S60" s="264">
        <v>0</v>
      </c>
      <c r="T60" s="264"/>
      <c r="U60" s="262">
        <f t="shared" si="0"/>
        <v>225</v>
      </c>
      <c r="V60" s="264"/>
      <c r="W60" s="264">
        <f>'FY14 vs. ceiling by LEA'!W60</f>
        <v>1100</v>
      </c>
      <c r="X60" s="264" t="s">
        <v>471</v>
      </c>
    </row>
    <row r="61" spans="1:24">
      <c r="A61" s="267" t="s">
        <v>532</v>
      </c>
      <c r="B61" s="264">
        <v>0</v>
      </c>
      <c r="C61" s="264">
        <v>0</v>
      </c>
      <c r="D61" s="264">
        <v>0</v>
      </c>
      <c r="E61" s="264">
        <v>0</v>
      </c>
      <c r="F61" s="264">
        <v>0</v>
      </c>
      <c r="G61" s="264">
        <v>0</v>
      </c>
      <c r="H61" s="264">
        <v>0</v>
      </c>
      <c r="I61" s="264">
        <v>0</v>
      </c>
      <c r="J61" s="264">
        <v>0</v>
      </c>
      <c r="K61" s="264">
        <v>0</v>
      </c>
      <c r="L61" s="264">
        <v>0</v>
      </c>
      <c r="M61" s="264">
        <v>0</v>
      </c>
      <c r="N61" s="264">
        <v>0</v>
      </c>
      <c r="O61" s="264">
        <v>0</v>
      </c>
      <c r="P61" s="264">
        <v>0</v>
      </c>
      <c r="Q61" s="264">
        <v>0</v>
      </c>
      <c r="R61" s="264">
        <v>0</v>
      </c>
      <c r="S61" s="264">
        <v>0</v>
      </c>
      <c r="T61" s="264"/>
      <c r="U61" s="262">
        <f t="shared" si="0"/>
        <v>0</v>
      </c>
      <c r="V61" s="264"/>
      <c r="W61" s="264"/>
    </row>
    <row r="62" spans="1:24">
      <c r="A62" s="267" t="s">
        <v>533</v>
      </c>
      <c r="B62" s="264">
        <v>0</v>
      </c>
      <c r="C62" s="264">
        <v>0</v>
      </c>
      <c r="D62" s="264">
        <v>0</v>
      </c>
      <c r="E62" s="264">
        <v>0</v>
      </c>
      <c r="F62" s="264">
        <v>0</v>
      </c>
      <c r="G62" s="264">
        <v>0</v>
      </c>
      <c r="H62" s="264">
        <v>0</v>
      </c>
      <c r="I62" s="264">
        <v>0</v>
      </c>
      <c r="J62" s="264">
        <v>0</v>
      </c>
      <c r="K62" s="264">
        <v>0</v>
      </c>
      <c r="L62" s="264">
        <v>0</v>
      </c>
      <c r="M62" s="264">
        <v>0</v>
      </c>
      <c r="N62" s="264">
        <v>0</v>
      </c>
      <c r="O62" s="264">
        <v>0</v>
      </c>
      <c r="P62" s="264">
        <v>0</v>
      </c>
      <c r="Q62" s="264">
        <v>0</v>
      </c>
      <c r="R62" s="264">
        <v>0</v>
      </c>
      <c r="S62" s="264">
        <v>0</v>
      </c>
      <c r="T62" s="264"/>
      <c r="U62" s="262">
        <f t="shared" si="0"/>
        <v>0</v>
      </c>
      <c r="V62" s="264"/>
      <c r="W62" s="264"/>
    </row>
    <row r="63" spans="1:24">
      <c r="A63" s="264" t="s">
        <v>534</v>
      </c>
      <c r="B63" s="264">
        <v>0</v>
      </c>
      <c r="C63" s="264">
        <v>0</v>
      </c>
      <c r="D63" s="264">
        <v>0</v>
      </c>
      <c r="E63" s="264">
        <v>0</v>
      </c>
      <c r="F63" s="264">
        <v>0</v>
      </c>
      <c r="G63" s="264">
        <v>0</v>
      </c>
      <c r="H63" s="264">
        <v>0</v>
      </c>
      <c r="I63" s="264">
        <v>0</v>
      </c>
      <c r="J63" s="264">
        <v>110</v>
      </c>
      <c r="K63" s="264">
        <v>110</v>
      </c>
      <c r="L63" s="264">
        <v>100</v>
      </c>
      <c r="M63" s="264">
        <v>0</v>
      </c>
      <c r="N63" s="264">
        <v>0</v>
      </c>
      <c r="O63" s="264">
        <v>0</v>
      </c>
      <c r="P63" s="264">
        <v>0</v>
      </c>
      <c r="Q63" s="264">
        <v>0</v>
      </c>
      <c r="R63" s="264">
        <v>0</v>
      </c>
      <c r="S63" s="264">
        <v>0</v>
      </c>
      <c r="T63" s="264"/>
      <c r="U63" s="262">
        <f t="shared" si="0"/>
        <v>320</v>
      </c>
      <c r="V63" s="264"/>
      <c r="W63" s="264">
        <f>'FY14 vs. ceiling by LEA'!W63</f>
        <v>360</v>
      </c>
    </row>
    <row r="64" spans="1:24">
      <c r="A64" s="267" t="s">
        <v>540</v>
      </c>
      <c r="B64" s="264">
        <v>0</v>
      </c>
      <c r="C64" s="264">
        <v>0</v>
      </c>
      <c r="D64" s="264">
        <v>0</v>
      </c>
      <c r="E64" s="264">
        <v>0</v>
      </c>
      <c r="F64" s="264">
        <v>0</v>
      </c>
      <c r="G64" s="264">
        <v>0</v>
      </c>
      <c r="H64" s="264">
        <v>0</v>
      </c>
      <c r="I64" s="264">
        <v>0</v>
      </c>
      <c r="J64" s="264">
        <v>0</v>
      </c>
      <c r="K64" s="264">
        <v>0</v>
      </c>
      <c r="L64" s="264">
        <v>0</v>
      </c>
      <c r="M64" s="264">
        <v>68</v>
      </c>
      <c r="N64" s="264">
        <v>68</v>
      </c>
      <c r="O64" s="264">
        <v>60</v>
      </c>
      <c r="P64" s="264">
        <v>60</v>
      </c>
      <c r="Q64" s="264">
        <v>0</v>
      </c>
      <c r="R64" s="264">
        <v>0</v>
      </c>
      <c r="S64" s="264">
        <v>0</v>
      </c>
      <c r="T64" s="264"/>
      <c r="U64" s="262">
        <f>SUM(B64:T64)</f>
        <v>256</v>
      </c>
      <c r="V64" s="264"/>
      <c r="W64" s="264">
        <f>'FY14 vs. ceiling by LEA'!W68</f>
        <v>550</v>
      </c>
      <c r="X64" s="264" t="s">
        <v>471</v>
      </c>
    </row>
    <row r="65" spans="1:24">
      <c r="A65" s="264" t="s">
        <v>356</v>
      </c>
      <c r="B65" s="264">
        <v>30</v>
      </c>
      <c r="C65" s="264">
        <v>40</v>
      </c>
      <c r="D65" s="264">
        <v>40</v>
      </c>
      <c r="E65" s="264">
        <v>29</v>
      </c>
      <c r="F65" s="264">
        <v>29</v>
      </c>
      <c r="G65" s="264">
        <v>24</v>
      </c>
      <c r="H65" s="264">
        <v>16</v>
      </c>
      <c r="I65" s="264">
        <v>16</v>
      </c>
      <c r="J65" s="264">
        <v>30</v>
      </c>
      <c r="K65" s="264">
        <v>16</v>
      </c>
      <c r="L65" s="264">
        <v>18</v>
      </c>
      <c r="M65" s="264">
        <v>0</v>
      </c>
      <c r="N65" s="264">
        <v>0</v>
      </c>
      <c r="O65" s="264">
        <v>0</v>
      </c>
      <c r="P65" s="264">
        <v>0</v>
      </c>
      <c r="Q65" s="264">
        <v>0</v>
      </c>
      <c r="R65" s="264">
        <v>0</v>
      </c>
      <c r="S65" s="264">
        <v>0</v>
      </c>
      <c r="T65" s="264"/>
      <c r="U65" s="262">
        <f t="shared" si="0"/>
        <v>288</v>
      </c>
      <c r="V65" s="264"/>
      <c r="W65" s="264">
        <f>'FY14 vs. ceiling by LEA'!W64</f>
        <v>485</v>
      </c>
      <c r="X65" s="264" t="s">
        <v>471</v>
      </c>
    </row>
    <row r="66" spans="1:24">
      <c r="A66" s="267" t="s">
        <v>535</v>
      </c>
      <c r="B66" s="264">
        <v>49</v>
      </c>
      <c r="C66" s="264">
        <v>45</v>
      </c>
      <c r="D66" s="264">
        <v>50</v>
      </c>
      <c r="E66" s="264">
        <v>96</v>
      </c>
      <c r="F66" s="264">
        <v>83</v>
      </c>
      <c r="G66" s="264">
        <v>75</v>
      </c>
      <c r="H66" s="264">
        <v>49</v>
      </c>
      <c r="I66" s="264">
        <v>35</v>
      </c>
      <c r="J66" s="264">
        <v>45</v>
      </c>
      <c r="K66" s="264">
        <v>0</v>
      </c>
      <c r="L66" s="264">
        <v>0</v>
      </c>
      <c r="M66" s="264">
        <v>0</v>
      </c>
      <c r="N66" s="264">
        <v>0</v>
      </c>
      <c r="O66" s="264">
        <v>0</v>
      </c>
      <c r="P66" s="264">
        <v>0</v>
      </c>
      <c r="Q66" s="264">
        <v>0</v>
      </c>
      <c r="R66" s="264">
        <v>0</v>
      </c>
      <c r="S66" s="264">
        <v>0</v>
      </c>
      <c r="T66" s="264"/>
      <c r="U66" s="262">
        <f t="shared" si="0"/>
        <v>527</v>
      </c>
      <c r="V66" s="264"/>
      <c r="W66" s="264">
        <f>'FY14 vs. ceiling by LEA'!W65</f>
        <v>708</v>
      </c>
      <c r="X66" s="264" t="s">
        <v>471</v>
      </c>
    </row>
    <row r="67" spans="1:24">
      <c r="A67" s="265" t="s">
        <v>536</v>
      </c>
      <c r="B67" s="266">
        <v>24</v>
      </c>
      <c r="C67" s="266">
        <v>24</v>
      </c>
      <c r="D67" s="266">
        <v>60</v>
      </c>
      <c r="E67" s="264">
        <v>0</v>
      </c>
      <c r="F67" s="264">
        <v>0</v>
      </c>
      <c r="G67" s="264">
        <v>0</v>
      </c>
      <c r="H67" s="264">
        <v>0</v>
      </c>
      <c r="I67" s="264">
        <v>0</v>
      </c>
      <c r="J67" s="264">
        <v>0</v>
      </c>
      <c r="K67" s="264">
        <v>0</v>
      </c>
      <c r="L67" s="264">
        <v>0</v>
      </c>
      <c r="M67" s="264">
        <v>0</v>
      </c>
      <c r="N67" s="264">
        <v>0</v>
      </c>
      <c r="O67" s="264">
        <v>0</v>
      </c>
      <c r="P67" s="264">
        <v>0</v>
      </c>
      <c r="Q67" s="264">
        <v>0</v>
      </c>
      <c r="R67" s="264">
        <v>0</v>
      </c>
      <c r="S67" s="264">
        <v>0</v>
      </c>
      <c r="T67" s="264"/>
      <c r="U67" s="262">
        <f t="shared" si="0"/>
        <v>108</v>
      </c>
      <c r="V67" s="264"/>
      <c r="W67" s="267">
        <f>'FY14 vs. ceiling by LEA'!W66</f>
        <v>150</v>
      </c>
      <c r="X67" s="264" t="s">
        <v>537</v>
      </c>
    </row>
    <row r="68" spans="1:24">
      <c r="A68" s="264" t="s">
        <v>538</v>
      </c>
      <c r="B68" s="264">
        <v>44</v>
      </c>
      <c r="C68" s="264">
        <v>44</v>
      </c>
      <c r="D68" s="264">
        <v>44</v>
      </c>
      <c r="E68" s="264">
        <v>48</v>
      </c>
      <c r="F68" s="264">
        <v>24</v>
      </c>
      <c r="G68" s="264">
        <v>24</v>
      </c>
      <c r="H68" s="264">
        <v>24</v>
      </c>
      <c r="I68" s="266">
        <v>24</v>
      </c>
      <c r="J68" s="264">
        <v>0</v>
      </c>
      <c r="K68" s="264">
        <v>0</v>
      </c>
      <c r="L68" s="264">
        <v>0</v>
      </c>
      <c r="M68" s="264">
        <v>0</v>
      </c>
      <c r="N68" s="264">
        <v>0</v>
      </c>
      <c r="O68" s="264">
        <v>0</v>
      </c>
      <c r="P68" s="264">
        <v>0</v>
      </c>
      <c r="Q68" s="264">
        <v>0</v>
      </c>
      <c r="R68" s="264">
        <v>0</v>
      </c>
      <c r="S68" s="264">
        <v>0</v>
      </c>
      <c r="T68" s="264"/>
      <c r="U68" s="262">
        <f t="shared" ref="U68:U112" si="1">SUM(B68:T68)</f>
        <v>276</v>
      </c>
      <c r="V68" s="264"/>
      <c r="W68" s="267">
        <f>'FY14 vs. ceiling by LEA'!W67</f>
        <v>300</v>
      </c>
      <c r="X68" s="264" t="s">
        <v>539</v>
      </c>
    </row>
    <row r="69" spans="1:24">
      <c r="A69" s="264" t="s">
        <v>541</v>
      </c>
      <c r="B69" s="264">
        <v>0</v>
      </c>
      <c r="C69" s="264">
        <v>0</v>
      </c>
      <c r="D69" s="264">
        <v>0</v>
      </c>
      <c r="E69" s="264">
        <v>0</v>
      </c>
      <c r="F69" s="264">
        <v>0</v>
      </c>
      <c r="G69" s="264">
        <v>0</v>
      </c>
      <c r="H69" s="264">
        <v>0</v>
      </c>
      <c r="I69" s="264">
        <v>90</v>
      </c>
      <c r="J69" s="264">
        <v>85</v>
      </c>
      <c r="K69" s="264">
        <v>80</v>
      </c>
      <c r="L69" s="264">
        <v>75</v>
      </c>
      <c r="M69" s="264">
        <v>0</v>
      </c>
      <c r="N69" s="264">
        <v>0</v>
      </c>
      <c r="O69" s="264">
        <v>0</v>
      </c>
      <c r="P69" s="264">
        <v>0</v>
      </c>
      <c r="Q69" s="264">
        <v>0</v>
      </c>
      <c r="R69" s="264">
        <v>0</v>
      </c>
      <c r="S69" s="264">
        <v>0</v>
      </c>
      <c r="T69" s="264"/>
      <c r="U69" s="262">
        <f t="shared" si="1"/>
        <v>330</v>
      </c>
      <c r="V69" s="264"/>
      <c r="W69" s="264">
        <f>'FY14 vs. ceiling by LEA'!W69</f>
        <v>3114</v>
      </c>
      <c r="X69" s="264" t="s">
        <v>542</v>
      </c>
    </row>
    <row r="70" spans="1:24">
      <c r="A70" s="264" t="s">
        <v>543</v>
      </c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>
        <v>135</v>
      </c>
      <c r="N70" s="264">
        <v>125</v>
      </c>
      <c r="O70" s="264">
        <v>105</v>
      </c>
      <c r="P70" s="264">
        <v>75</v>
      </c>
      <c r="Q70" s="264"/>
      <c r="R70" s="264"/>
      <c r="S70" s="264">
        <v>0</v>
      </c>
      <c r="T70" s="264"/>
      <c r="U70" s="262">
        <f t="shared" si="1"/>
        <v>440</v>
      </c>
      <c r="V70" s="264"/>
      <c r="W70" s="264"/>
    </row>
    <row r="71" spans="1:24">
      <c r="A71" s="265" t="s">
        <v>544</v>
      </c>
      <c r="B71" s="266">
        <v>120</v>
      </c>
      <c r="C71" s="264">
        <v>0</v>
      </c>
      <c r="D71" s="264">
        <v>0</v>
      </c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>
        <v>0</v>
      </c>
      <c r="R71" s="264">
        <v>0</v>
      </c>
      <c r="S71" s="264">
        <v>0</v>
      </c>
      <c r="T71" s="264"/>
      <c r="U71" s="262">
        <f t="shared" si="1"/>
        <v>120</v>
      </c>
      <c r="V71" s="264"/>
      <c r="W71" s="264"/>
    </row>
    <row r="72" spans="1:24">
      <c r="A72" s="264" t="s">
        <v>545</v>
      </c>
      <c r="B72" s="264">
        <v>100</v>
      </c>
      <c r="C72" s="264">
        <v>100</v>
      </c>
      <c r="D72" s="264">
        <v>100</v>
      </c>
      <c r="E72" s="264">
        <v>0</v>
      </c>
      <c r="F72" s="264">
        <v>0</v>
      </c>
      <c r="G72" s="264">
        <v>0</v>
      </c>
      <c r="H72" s="264">
        <v>0</v>
      </c>
      <c r="I72" s="264">
        <v>0</v>
      </c>
      <c r="J72" s="264">
        <v>0</v>
      </c>
      <c r="K72" s="264">
        <v>0</v>
      </c>
      <c r="L72" s="264">
        <v>0</v>
      </c>
      <c r="M72" s="264">
        <v>0</v>
      </c>
      <c r="N72" s="264">
        <v>0</v>
      </c>
      <c r="O72" s="264">
        <v>0</v>
      </c>
      <c r="P72" s="264">
        <v>0</v>
      </c>
      <c r="Q72" s="264">
        <v>0</v>
      </c>
      <c r="R72" s="264">
        <v>0</v>
      </c>
      <c r="S72" s="264">
        <v>0</v>
      </c>
      <c r="T72" s="264"/>
      <c r="U72" s="262">
        <f t="shared" si="1"/>
        <v>300</v>
      </c>
      <c r="V72" s="264"/>
      <c r="W72" s="264"/>
    </row>
    <row r="73" spans="1:24">
      <c r="A73" s="264" t="s">
        <v>546</v>
      </c>
      <c r="B73" s="264">
        <v>100</v>
      </c>
      <c r="C73" s="264">
        <v>100</v>
      </c>
      <c r="D73" s="264">
        <v>100</v>
      </c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>
        <v>0</v>
      </c>
      <c r="R73" s="264">
        <v>0</v>
      </c>
      <c r="S73" s="264">
        <v>0</v>
      </c>
      <c r="T73" s="264"/>
      <c r="U73" s="262">
        <f t="shared" si="1"/>
        <v>300</v>
      </c>
      <c r="V73" s="264"/>
      <c r="W73" s="264"/>
    </row>
    <row r="74" spans="1:24">
      <c r="A74" s="264" t="s">
        <v>547</v>
      </c>
      <c r="B74" s="264"/>
      <c r="C74" s="264"/>
      <c r="D74" s="264"/>
      <c r="E74" s="264">
        <v>104</v>
      </c>
      <c r="F74" s="264">
        <v>104</v>
      </c>
      <c r="G74" s="266">
        <v>104</v>
      </c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>
        <v>0</v>
      </c>
      <c r="S74" s="264">
        <v>0</v>
      </c>
      <c r="T74" s="264"/>
      <c r="U74" s="262">
        <f t="shared" si="1"/>
        <v>312</v>
      </c>
      <c r="V74" s="264"/>
      <c r="W74" s="264"/>
    </row>
    <row r="75" spans="1:24">
      <c r="A75" s="264" t="s">
        <v>548</v>
      </c>
      <c r="B75" s="264"/>
      <c r="C75" s="264"/>
      <c r="D75" s="264"/>
      <c r="E75" s="264"/>
      <c r="F75" s="264"/>
      <c r="G75" s="264"/>
      <c r="H75" s="264"/>
      <c r="I75" s="264">
        <v>90</v>
      </c>
      <c r="J75" s="264">
        <v>85</v>
      </c>
      <c r="K75" s="264">
        <v>80</v>
      </c>
      <c r="L75" s="264">
        <v>75</v>
      </c>
      <c r="M75" s="264"/>
      <c r="N75" s="264"/>
      <c r="O75" s="264"/>
      <c r="P75" s="264"/>
      <c r="Q75" s="264">
        <v>0</v>
      </c>
      <c r="R75" s="264">
        <v>0</v>
      </c>
      <c r="S75" s="264">
        <v>0</v>
      </c>
      <c r="T75" s="264"/>
      <c r="U75" s="262">
        <f t="shared" si="1"/>
        <v>330</v>
      </c>
      <c r="V75" s="264"/>
      <c r="W75" s="264"/>
    </row>
    <row r="76" spans="1:24">
      <c r="A76" s="264" t="s">
        <v>549</v>
      </c>
      <c r="B76" s="264"/>
      <c r="C76" s="264"/>
      <c r="D76" s="264"/>
      <c r="E76" s="264">
        <v>104</v>
      </c>
      <c r="F76" s="266">
        <v>104</v>
      </c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>
        <v>0</v>
      </c>
      <c r="R76" s="264">
        <v>0</v>
      </c>
      <c r="S76" s="264">
        <v>0</v>
      </c>
      <c r="T76" s="264"/>
      <c r="U76" s="262">
        <f>SUM(B76:T76)</f>
        <v>208</v>
      </c>
      <c r="V76" s="264"/>
      <c r="W76" s="264"/>
    </row>
    <row r="77" spans="1:24">
      <c r="A77" s="264" t="s">
        <v>550</v>
      </c>
      <c r="B77" s="264">
        <v>100</v>
      </c>
      <c r="C77" s="264">
        <v>100</v>
      </c>
      <c r="D77" s="264">
        <v>100</v>
      </c>
      <c r="E77" s="264">
        <v>0</v>
      </c>
      <c r="F77" s="264">
        <v>0</v>
      </c>
      <c r="G77" s="264">
        <v>0</v>
      </c>
      <c r="H77" s="264">
        <v>0</v>
      </c>
      <c r="I77" s="264">
        <v>0</v>
      </c>
      <c r="J77" s="264">
        <v>0</v>
      </c>
      <c r="K77" s="264">
        <v>0</v>
      </c>
      <c r="L77" s="264">
        <v>0</v>
      </c>
      <c r="M77" s="264">
        <v>0</v>
      </c>
      <c r="N77" s="264">
        <v>0</v>
      </c>
      <c r="O77" s="264">
        <v>0</v>
      </c>
      <c r="P77" s="264">
        <v>0</v>
      </c>
      <c r="Q77" s="264">
        <v>0</v>
      </c>
      <c r="R77" s="264">
        <v>0</v>
      </c>
      <c r="S77" s="264">
        <v>0</v>
      </c>
      <c r="T77" s="264"/>
      <c r="U77" s="262">
        <f>SUM(B77:T77)</f>
        <v>300</v>
      </c>
      <c r="V77" s="264"/>
      <c r="W77" s="264"/>
    </row>
    <row r="78" spans="1:24">
      <c r="A78" s="264" t="s">
        <v>551</v>
      </c>
      <c r="B78" s="264">
        <v>0</v>
      </c>
      <c r="C78" s="264">
        <v>0</v>
      </c>
      <c r="D78" s="264">
        <v>0</v>
      </c>
      <c r="E78" s="264">
        <v>104</v>
      </c>
      <c r="F78" s="264">
        <v>104</v>
      </c>
      <c r="G78" s="264">
        <v>104</v>
      </c>
      <c r="H78" s="264">
        <v>104</v>
      </c>
      <c r="I78" s="264"/>
      <c r="J78" s="264"/>
      <c r="K78" s="264"/>
      <c r="L78" s="264"/>
      <c r="M78" s="264"/>
      <c r="N78" s="264"/>
      <c r="O78" s="264"/>
      <c r="P78" s="264"/>
      <c r="Q78" s="264">
        <v>0</v>
      </c>
      <c r="R78" s="264">
        <v>0</v>
      </c>
      <c r="S78" s="264">
        <v>0</v>
      </c>
      <c r="T78" s="264"/>
      <c r="U78" s="262">
        <f t="shared" si="1"/>
        <v>416</v>
      </c>
      <c r="V78" s="264"/>
      <c r="W78" s="264"/>
    </row>
    <row r="79" spans="1:24">
      <c r="A79" s="265" t="s">
        <v>552</v>
      </c>
      <c r="B79" s="264"/>
      <c r="C79" s="264"/>
      <c r="D79" s="266">
        <v>125</v>
      </c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>
        <v>0</v>
      </c>
      <c r="T79" s="264"/>
      <c r="U79" s="262">
        <f t="shared" si="1"/>
        <v>125</v>
      </c>
      <c r="V79" s="264"/>
      <c r="W79" s="264"/>
    </row>
    <row r="80" spans="1:24">
      <c r="A80" s="264" t="s">
        <v>553</v>
      </c>
      <c r="B80" s="264">
        <v>0</v>
      </c>
      <c r="C80" s="264">
        <v>0</v>
      </c>
      <c r="D80" s="264">
        <v>0</v>
      </c>
      <c r="E80" s="264">
        <v>0</v>
      </c>
      <c r="F80" s="264">
        <v>0</v>
      </c>
      <c r="G80" s="264">
        <v>0</v>
      </c>
      <c r="H80" s="264">
        <v>30</v>
      </c>
      <c r="I80" s="264">
        <v>90</v>
      </c>
      <c r="J80" s="264">
        <v>85</v>
      </c>
      <c r="K80" s="264">
        <v>80</v>
      </c>
      <c r="L80" s="264">
        <v>75</v>
      </c>
      <c r="M80" s="264">
        <v>0</v>
      </c>
      <c r="N80" s="264">
        <v>0</v>
      </c>
      <c r="O80" s="264">
        <v>0</v>
      </c>
      <c r="P80" s="264">
        <v>0</v>
      </c>
      <c r="Q80" s="264">
        <v>0</v>
      </c>
      <c r="R80" s="264">
        <v>0</v>
      </c>
      <c r="S80" s="264">
        <v>0</v>
      </c>
      <c r="T80" s="264"/>
      <c r="U80" s="262">
        <f t="shared" si="1"/>
        <v>360</v>
      </c>
      <c r="V80" s="264"/>
      <c r="W80" s="264"/>
    </row>
    <row r="81" spans="1:24">
      <c r="A81" s="265" t="s">
        <v>554</v>
      </c>
      <c r="B81" s="264">
        <v>0</v>
      </c>
      <c r="C81" s="264">
        <v>0</v>
      </c>
      <c r="D81" s="264">
        <v>0</v>
      </c>
      <c r="E81" s="264">
        <v>0</v>
      </c>
      <c r="F81" s="264">
        <v>0</v>
      </c>
      <c r="G81" s="264">
        <v>0</v>
      </c>
      <c r="H81" s="264">
        <v>0</v>
      </c>
      <c r="I81" s="264">
        <v>0</v>
      </c>
      <c r="J81" s="264">
        <v>0</v>
      </c>
      <c r="K81" s="264">
        <v>0</v>
      </c>
      <c r="L81" s="264">
        <v>0</v>
      </c>
      <c r="M81" s="266">
        <v>5</v>
      </c>
      <c r="N81" s="266">
        <v>10</v>
      </c>
      <c r="O81" s="266">
        <v>15</v>
      </c>
      <c r="P81" s="266">
        <v>15</v>
      </c>
      <c r="Q81" s="264">
        <v>0</v>
      </c>
      <c r="R81" s="264">
        <v>0</v>
      </c>
      <c r="S81" s="266">
        <v>105</v>
      </c>
      <c r="T81" s="264"/>
      <c r="U81" s="262">
        <f t="shared" si="1"/>
        <v>150</v>
      </c>
      <c r="V81" s="264"/>
      <c r="W81" s="267">
        <f>'FY14 vs. ceiling by LEA'!W81</f>
        <v>250</v>
      </c>
    </row>
    <row r="82" spans="1:24">
      <c r="A82" s="261" t="s">
        <v>555</v>
      </c>
      <c r="B82" s="261">
        <v>21</v>
      </c>
      <c r="C82" s="261">
        <v>21</v>
      </c>
      <c r="D82" s="261">
        <v>33</v>
      </c>
      <c r="E82" s="261">
        <v>30</v>
      </c>
      <c r="F82" s="261">
        <v>28</v>
      </c>
      <c r="G82" s="261">
        <v>29</v>
      </c>
      <c r="H82" s="261">
        <v>19</v>
      </c>
      <c r="I82" s="261">
        <v>10</v>
      </c>
      <c r="J82" s="261">
        <v>0</v>
      </c>
      <c r="K82" s="261">
        <v>0</v>
      </c>
      <c r="L82" s="261">
        <v>0</v>
      </c>
      <c r="M82" s="261">
        <v>0</v>
      </c>
      <c r="N82" s="261">
        <v>0</v>
      </c>
      <c r="O82" s="261">
        <v>0</v>
      </c>
      <c r="P82" s="261">
        <v>0</v>
      </c>
      <c r="Q82" s="261">
        <v>0</v>
      </c>
      <c r="R82" s="261">
        <v>0</v>
      </c>
      <c r="S82" s="261">
        <v>0</v>
      </c>
      <c r="U82" s="262">
        <f t="shared" si="1"/>
        <v>191</v>
      </c>
      <c r="W82" s="267">
        <v>350</v>
      </c>
      <c r="X82" s="264" t="s">
        <v>520</v>
      </c>
    </row>
    <row r="83" spans="1:24">
      <c r="A83" s="261" t="s">
        <v>556</v>
      </c>
      <c r="B83" s="261">
        <v>35</v>
      </c>
      <c r="C83" s="261">
        <v>35</v>
      </c>
      <c r="D83" s="261">
        <v>28</v>
      </c>
      <c r="E83" s="261">
        <v>25</v>
      </c>
      <c r="K83" s="261">
        <v>0</v>
      </c>
      <c r="L83" s="261">
        <v>0</v>
      </c>
      <c r="M83" s="261">
        <v>0</v>
      </c>
      <c r="N83" s="261">
        <v>0</v>
      </c>
      <c r="O83" s="261">
        <v>0</v>
      </c>
      <c r="P83" s="261">
        <v>0</v>
      </c>
      <c r="Q83" s="261">
        <v>0</v>
      </c>
      <c r="R83" s="261">
        <v>0</v>
      </c>
      <c r="S83" s="261">
        <v>0</v>
      </c>
      <c r="U83" s="262">
        <f t="shared" si="1"/>
        <v>123</v>
      </c>
    </row>
    <row r="84" spans="1:24">
      <c r="A84" s="261" t="s">
        <v>557</v>
      </c>
      <c r="B84" s="261">
        <v>36</v>
      </c>
      <c r="C84" s="261">
        <v>36</v>
      </c>
      <c r="D84" s="261">
        <v>30</v>
      </c>
      <c r="E84" s="261">
        <v>30</v>
      </c>
      <c r="F84" s="261">
        <v>30</v>
      </c>
      <c r="G84" s="261">
        <v>30</v>
      </c>
      <c r="H84" s="261">
        <v>30</v>
      </c>
      <c r="I84" s="261">
        <v>37</v>
      </c>
      <c r="J84" s="261">
        <v>40</v>
      </c>
      <c r="K84" s="261">
        <v>30</v>
      </c>
      <c r="L84" s="261">
        <v>15</v>
      </c>
      <c r="M84" s="261">
        <v>0</v>
      </c>
      <c r="N84" s="261">
        <v>0</v>
      </c>
      <c r="O84" s="261">
        <v>0</v>
      </c>
      <c r="P84" s="261">
        <v>0</v>
      </c>
      <c r="Q84" s="261">
        <v>0</v>
      </c>
      <c r="R84" s="261">
        <v>0</v>
      </c>
      <c r="S84" s="261">
        <v>0</v>
      </c>
      <c r="U84" s="262">
        <f t="shared" si="1"/>
        <v>344</v>
      </c>
      <c r="W84" s="261">
        <f>'FY14 vs. ceiling by LEA'!W84</f>
        <v>344</v>
      </c>
    </row>
    <row r="85" spans="1:24">
      <c r="A85" s="261" t="s">
        <v>558</v>
      </c>
      <c r="B85" s="261">
        <v>0</v>
      </c>
      <c r="C85" s="261">
        <v>0</v>
      </c>
      <c r="D85" s="261">
        <v>0</v>
      </c>
      <c r="E85" s="261">
        <v>0</v>
      </c>
      <c r="F85" s="261">
        <v>0</v>
      </c>
      <c r="G85" s="261">
        <v>0</v>
      </c>
      <c r="H85" s="261">
        <v>0</v>
      </c>
      <c r="I85" s="261">
        <v>0</v>
      </c>
      <c r="P85" s="261">
        <v>0</v>
      </c>
      <c r="Q85" s="261">
        <v>300</v>
      </c>
      <c r="R85" s="261">
        <v>0</v>
      </c>
      <c r="U85" s="262">
        <f>SUM(B85:T85)</f>
        <v>300</v>
      </c>
      <c r="W85" s="261">
        <f>'FY14 vs. ceiling by LEA'!W85</f>
        <v>740</v>
      </c>
      <c r="X85" s="264" t="s">
        <v>559</v>
      </c>
    </row>
    <row r="86" spans="1:24">
      <c r="A86" s="261" t="s">
        <v>560</v>
      </c>
      <c r="B86" s="261">
        <v>0</v>
      </c>
      <c r="C86" s="261">
        <v>0</v>
      </c>
      <c r="D86" s="261">
        <v>0</v>
      </c>
      <c r="E86" s="261">
        <v>0</v>
      </c>
      <c r="F86" s="261">
        <v>0</v>
      </c>
      <c r="G86" s="261">
        <v>0</v>
      </c>
      <c r="H86" s="261">
        <v>0</v>
      </c>
      <c r="I86" s="261">
        <v>0</v>
      </c>
      <c r="J86" s="261">
        <v>75</v>
      </c>
      <c r="K86" s="261">
        <v>70</v>
      </c>
      <c r="L86" s="261">
        <v>70</v>
      </c>
      <c r="M86" s="261">
        <v>0</v>
      </c>
      <c r="N86" s="261">
        <v>0</v>
      </c>
      <c r="O86" s="261">
        <v>0</v>
      </c>
      <c r="P86" s="261">
        <v>0</v>
      </c>
      <c r="R86" s="261">
        <v>0</v>
      </c>
      <c r="U86" s="262">
        <f>SUM(B86:T86)</f>
        <v>215</v>
      </c>
    </row>
    <row r="87" spans="1:24">
      <c r="A87" s="261" t="s">
        <v>561</v>
      </c>
      <c r="B87" s="261">
        <v>0</v>
      </c>
      <c r="C87" s="261">
        <v>0</v>
      </c>
      <c r="D87" s="261">
        <v>0</v>
      </c>
      <c r="E87" s="261">
        <v>0</v>
      </c>
      <c r="F87" s="261">
        <v>0</v>
      </c>
      <c r="G87" s="261">
        <v>0</v>
      </c>
      <c r="H87" s="261">
        <v>0</v>
      </c>
      <c r="S87" s="261">
        <v>150</v>
      </c>
      <c r="U87" s="262">
        <f t="shared" si="1"/>
        <v>150</v>
      </c>
    </row>
    <row r="88" spans="1:24">
      <c r="A88" s="261" t="s">
        <v>393</v>
      </c>
      <c r="B88" s="261">
        <v>50</v>
      </c>
      <c r="C88" s="261">
        <v>75</v>
      </c>
      <c r="D88" s="261">
        <v>75</v>
      </c>
      <c r="E88" s="261">
        <v>75</v>
      </c>
      <c r="F88" s="261">
        <v>75</v>
      </c>
      <c r="G88" s="261">
        <v>50</v>
      </c>
      <c r="H88" s="261">
        <v>50</v>
      </c>
      <c r="I88" s="261">
        <v>50</v>
      </c>
      <c r="J88" s="261">
        <v>40</v>
      </c>
      <c r="K88" s="261">
        <v>30</v>
      </c>
      <c r="L88" s="261">
        <v>30</v>
      </c>
      <c r="M88" s="261">
        <v>0</v>
      </c>
      <c r="N88" s="261">
        <v>0</v>
      </c>
      <c r="O88" s="261">
        <v>0</v>
      </c>
      <c r="P88" s="261">
        <v>0</v>
      </c>
      <c r="Q88" s="261">
        <v>0</v>
      </c>
      <c r="R88" s="261">
        <v>0</v>
      </c>
      <c r="S88" s="261">
        <v>0</v>
      </c>
      <c r="U88" s="262">
        <f t="shared" si="1"/>
        <v>600</v>
      </c>
      <c r="W88" s="261">
        <f>'FY14 vs. ceiling by LEA'!W88</f>
        <v>855</v>
      </c>
    </row>
    <row r="89" spans="1:24">
      <c r="A89" s="261" t="s">
        <v>562</v>
      </c>
      <c r="B89" s="261">
        <v>40</v>
      </c>
      <c r="C89" s="261">
        <v>63</v>
      </c>
      <c r="D89" s="261">
        <v>69</v>
      </c>
      <c r="E89" s="261">
        <v>69</v>
      </c>
      <c r="F89" s="266">
        <v>69</v>
      </c>
      <c r="G89" s="261">
        <v>0</v>
      </c>
      <c r="H89" s="266">
        <v>11</v>
      </c>
      <c r="I89" s="266">
        <v>11</v>
      </c>
      <c r="J89" s="261">
        <v>0</v>
      </c>
      <c r="K89" s="261">
        <v>0</v>
      </c>
      <c r="L89" s="261">
        <v>0</v>
      </c>
      <c r="M89" s="261">
        <v>0</v>
      </c>
      <c r="N89" s="261">
        <v>0</v>
      </c>
      <c r="O89" s="261">
        <v>0</v>
      </c>
      <c r="P89" s="261">
        <v>0</v>
      </c>
      <c r="Q89" s="261">
        <v>0</v>
      </c>
      <c r="R89" s="261">
        <v>0</v>
      </c>
      <c r="S89" s="261">
        <v>0</v>
      </c>
      <c r="U89" s="262">
        <f t="shared" si="1"/>
        <v>332</v>
      </c>
      <c r="W89" s="261">
        <f>'FY14 vs. ceiling by LEA'!W89</f>
        <v>324</v>
      </c>
      <c r="X89" s="264" t="s">
        <v>563</v>
      </c>
    </row>
    <row r="90" spans="1:24">
      <c r="A90" s="261" t="s">
        <v>564</v>
      </c>
      <c r="B90" s="261">
        <v>0</v>
      </c>
      <c r="C90" s="261">
        <v>0</v>
      </c>
      <c r="D90" s="261">
        <v>0</v>
      </c>
      <c r="E90" s="261">
        <v>0</v>
      </c>
      <c r="F90" s="261">
        <v>0</v>
      </c>
      <c r="G90" s="261">
        <v>0</v>
      </c>
      <c r="H90" s="261">
        <v>0</v>
      </c>
      <c r="I90" s="261">
        <v>0</v>
      </c>
      <c r="J90" s="261">
        <v>0</v>
      </c>
      <c r="K90" s="261">
        <v>0</v>
      </c>
      <c r="L90" s="261">
        <v>0</v>
      </c>
      <c r="M90" s="261">
        <v>110</v>
      </c>
      <c r="N90" s="261">
        <v>95</v>
      </c>
      <c r="O90" s="261">
        <v>85</v>
      </c>
      <c r="P90" s="261">
        <v>65</v>
      </c>
      <c r="Q90" s="261">
        <v>0</v>
      </c>
      <c r="R90" s="261">
        <v>0</v>
      </c>
      <c r="S90" s="261">
        <v>0</v>
      </c>
      <c r="U90" s="262">
        <f t="shared" si="1"/>
        <v>355</v>
      </c>
      <c r="W90" s="267">
        <f>'FY14 vs. ceiling by LEA'!W90</f>
        <v>200</v>
      </c>
    </row>
    <row r="91" spans="1:24">
      <c r="A91" s="261" t="s">
        <v>401</v>
      </c>
      <c r="B91" s="261">
        <v>0</v>
      </c>
      <c r="C91" s="261">
        <v>0</v>
      </c>
      <c r="D91" s="261">
        <v>0</v>
      </c>
      <c r="E91" s="261">
        <v>0</v>
      </c>
      <c r="F91" s="261">
        <v>0</v>
      </c>
      <c r="G91" s="261">
        <v>0</v>
      </c>
      <c r="H91" s="261">
        <v>0</v>
      </c>
      <c r="I91" s="261">
        <v>0</v>
      </c>
      <c r="J91" s="261">
        <v>30</v>
      </c>
      <c r="K91" s="261">
        <v>30</v>
      </c>
      <c r="L91" s="261">
        <v>30</v>
      </c>
      <c r="M91" s="261">
        <v>75</v>
      </c>
      <c r="N91" s="261">
        <v>90</v>
      </c>
      <c r="O91" s="261">
        <v>85</v>
      </c>
      <c r="P91" s="261">
        <v>85</v>
      </c>
      <c r="Q91" s="261">
        <v>0</v>
      </c>
      <c r="R91" s="261">
        <v>0</v>
      </c>
      <c r="S91" s="261">
        <v>0</v>
      </c>
      <c r="U91" s="262">
        <f t="shared" si="1"/>
        <v>425</v>
      </c>
      <c r="W91" s="261">
        <f>'FY14 vs. ceiling by LEA'!W91</f>
        <v>425</v>
      </c>
      <c r="X91" s="264" t="s">
        <v>565</v>
      </c>
    </row>
    <row r="92" spans="1:24">
      <c r="A92" s="261" t="s">
        <v>405</v>
      </c>
      <c r="J92" s="261">
        <v>120</v>
      </c>
      <c r="K92" s="261">
        <v>160</v>
      </c>
      <c r="L92" s="261">
        <v>170</v>
      </c>
      <c r="M92" s="261">
        <v>125</v>
      </c>
      <c r="N92" s="266">
        <v>100</v>
      </c>
      <c r="U92" s="262">
        <f t="shared" si="1"/>
        <v>675</v>
      </c>
      <c r="W92" s="261">
        <f>'FY14 vs. ceiling by LEA'!W92</f>
        <v>725</v>
      </c>
      <c r="X92" s="264" t="s">
        <v>566</v>
      </c>
    </row>
    <row r="93" spans="1:24">
      <c r="A93" s="261" t="s">
        <v>567</v>
      </c>
      <c r="B93" s="261">
        <v>92</v>
      </c>
      <c r="C93" s="261">
        <v>33</v>
      </c>
      <c r="D93" s="261">
        <v>45</v>
      </c>
      <c r="E93" s="261">
        <v>44</v>
      </c>
      <c r="F93" s="261">
        <v>41</v>
      </c>
      <c r="G93" s="261">
        <v>39</v>
      </c>
      <c r="H93" s="261">
        <v>42</v>
      </c>
      <c r="I93" s="261">
        <v>43</v>
      </c>
      <c r="J93" s="261">
        <v>103</v>
      </c>
      <c r="K93" s="261">
        <v>57</v>
      </c>
      <c r="L93" s="261">
        <v>80</v>
      </c>
      <c r="M93" s="261">
        <v>129</v>
      </c>
      <c r="N93" s="261">
        <v>129</v>
      </c>
      <c r="O93" s="261">
        <v>104</v>
      </c>
      <c r="P93" s="261">
        <v>69</v>
      </c>
      <c r="Q93" s="261">
        <v>0</v>
      </c>
      <c r="R93" s="261">
        <v>0</v>
      </c>
      <c r="S93" s="261">
        <v>0</v>
      </c>
      <c r="U93" s="262">
        <f t="shared" si="1"/>
        <v>1050</v>
      </c>
      <c r="W93" s="261">
        <f>'FY14 vs. ceiling by LEA'!W93</f>
        <v>1050</v>
      </c>
      <c r="X93" s="264" t="s">
        <v>471</v>
      </c>
    </row>
    <row r="94" spans="1:24">
      <c r="A94" s="261" t="s">
        <v>411</v>
      </c>
      <c r="B94" s="261">
        <v>48</v>
      </c>
      <c r="C94" s="261">
        <v>60</v>
      </c>
      <c r="D94" s="261">
        <v>50</v>
      </c>
      <c r="E94" s="261">
        <v>50</v>
      </c>
      <c r="F94" s="261">
        <v>50</v>
      </c>
      <c r="G94" s="261">
        <v>50</v>
      </c>
      <c r="H94" s="261">
        <v>50</v>
      </c>
      <c r="I94" s="261">
        <v>50</v>
      </c>
      <c r="J94" s="261">
        <v>50</v>
      </c>
      <c r="K94" s="261">
        <v>25</v>
      </c>
      <c r="L94" s="261">
        <v>25</v>
      </c>
      <c r="M94" s="261">
        <v>0</v>
      </c>
      <c r="N94" s="261">
        <v>0</v>
      </c>
      <c r="O94" s="261">
        <v>0</v>
      </c>
      <c r="P94" s="261">
        <v>0</v>
      </c>
      <c r="Q94" s="261">
        <v>0</v>
      </c>
      <c r="R94" s="261">
        <v>0</v>
      </c>
      <c r="S94" s="261">
        <v>0</v>
      </c>
      <c r="U94" s="262">
        <f t="shared" si="1"/>
        <v>508</v>
      </c>
      <c r="W94" s="261">
        <f>'FY14 vs. ceiling by LEA'!W94</f>
        <v>558</v>
      </c>
    </row>
    <row r="95" spans="1:24">
      <c r="A95" s="261" t="s">
        <v>568</v>
      </c>
      <c r="B95" s="261">
        <v>0</v>
      </c>
      <c r="C95" s="261">
        <v>0</v>
      </c>
      <c r="D95" s="261">
        <v>0</v>
      </c>
      <c r="E95" s="261">
        <v>0</v>
      </c>
      <c r="F95" s="261">
        <v>0</v>
      </c>
      <c r="G95" s="261">
        <v>0</v>
      </c>
      <c r="H95" s="261">
        <v>0</v>
      </c>
      <c r="I95" s="261">
        <v>0</v>
      </c>
      <c r="J95" s="261">
        <v>0</v>
      </c>
      <c r="K95" s="261">
        <v>0</v>
      </c>
      <c r="L95" s="261">
        <v>75</v>
      </c>
      <c r="M95" s="261">
        <v>100</v>
      </c>
      <c r="N95" s="261">
        <v>100</v>
      </c>
      <c r="O95" s="266">
        <v>100</v>
      </c>
      <c r="P95" s="261">
        <v>0</v>
      </c>
      <c r="Q95" s="261">
        <v>0</v>
      </c>
      <c r="R95" s="261">
        <v>0</v>
      </c>
      <c r="S95" s="261">
        <v>0</v>
      </c>
      <c r="U95" s="262">
        <f t="shared" si="1"/>
        <v>375</v>
      </c>
      <c r="W95" s="267">
        <f>'FY14 vs. ceiling by LEA'!W95</f>
        <v>375</v>
      </c>
      <c r="X95" s="264" t="s">
        <v>566</v>
      </c>
    </row>
    <row r="96" spans="1:24">
      <c r="A96" s="261" t="s">
        <v>415</v>
      </c>
      <c r="B96" s="261">
        <v>20</v>
      </c>
      <c r="C96" s="261">
        <v>20</v>
      </c>
      <c r="D96" s="261">
        <v>16</v>
      </c>
      <c r="E96" s="261">
        <v>32</v>
      </c>
      <c r="F96" s="261">
        <v>0</v>
      </c>
      <c r="G96" s="261">
        <v>0</v>
      </c>
      <c r="H96" s="261">
        <v>16</v>
      </c>
      <c r="I96" s="261">
        <v>0</v>
      </c>
      <c r="J96" s="261">
        <v>16</v>
      </c>
      <c r="M96" s="261">
        <v>0</v>
      </c>
      <c r="N96" s="261">
        <v>0</v>
      </c>
      <c r="O96" s="261">
        <v>0</v>
      </c>
      <c r="P96" s="261">
        <v>0</v>
      </c>
      <c r="Q96" s="261">
        <v>0</v>
      </c>
      <c r="R96" s="261">
        <v>0</v>
      </c>
      <c r="S96" s="261">
        <v>0</v>
      </c>
      <c r="U96" s="262">
        <f t="shared" si="1"/>
        <v>120</v>
      </c>
      <c r="W96" s="261">
        <f>'FY14 vs. ceiling by LEA'!W96</f>
        <v>120</v>
      </c>
    </row>
    <row r="97" spans="1:24">
      <c r="A97" s="261" t="s">
        <v>569</v>
      </c>
      <c r="B97" s="261">
        <v>0</v>
      </c>
      <c r="C97" s="261">
        <v>0</v>
      </c>
      <c r="D97" s="261">
        <v>0</v>
      </c>
      <c r="E97" s="261">
        <v>0</v>
      </c>
      <c r="F97" s="261">
        <v>0</v>
      </c>
      <c r="G97" s="261">
        <v>0</v>
      </c>
      <c r="H97" s="261">
        <v>0</v>
      </c>
      <c r="I97" s="261">
        <v>0</v>
      </c>
      <c r="J97" s="261">
        <v>85</v>
      </c>
      <c r="K97" s="261">
        <v>81</v>
      </c>
      <c r="L97" s="261">
        <v>58</v>
      </c>
      <c r="M97" s="261">
        <v>31</v>
      </c>
      <c r="N97" s="261">
        <v>39</v>
      </c>
      <c r="O97" s="261">
        <v>21</v>
      </c>
      <c r="P97" s="261">
        <v>25</v>
      </c>
      <c r="Q97" s="261">
        <v>0</v>
      </c>
      <c r="R97" s="261">
        <v>0</v>
      </c>
      <c r="S97" s="261">
        <v>0</v>
      </c>
      <c r="U97" s="262">
        <f t="shared" si="1"/>
        <v>340</v>
      </c>
      <c r="W97" s="261">
        <f>'FY14 vs. ceiling by LEA'!W97</f>
        <v>947</v>
      </c>
    </row>
    <row r="98" spans="1:24">
      <c r="A98" s="265" t="s">
        <v>570</v>
      </c>
      <c r="B98" s="266">
        <v>44</v>
      </c>
      <c r="C98" s="266">
        <v>40</v>
      </c>
      <c r="D98" s="266">
        <v>40</v>
      </c>
      <c r="E98" s="264">
        <v>0</v>
      </c>
      <c r="F98" s="264">
        <v>0</v>
      </c>
      <c r="G98" s="264">
        <v>0</v>
      </c>
      <c r="H98" s="264">
        <v>0</v>
      </c>
      <c r="I98" s="264">
        <v>0</v>
      </c>
      <c r="J98" s="264">
        <v>0</v>
      </c>
      <c r="K98" s="264">
        <v>0</v>
      </c>
      <c r="L98" s="264">
        <v>0</v>
      </c>
      <c r="M98" s="264">
        <v>0</v>
      </c>
      <c r="N98" s="264">
        <v>0</v>
      </c>
      <c r="O98" s="264">
        <v>0</v>
      </c>
      <c r="P98" s="264">
        <v>0</v>
      </c>
      <c r="Q98" s="264">
        <v>0</v>
      </c>
      <c r="R98" s="264">
        <v>0</v>
      </c>
      <c r="S98" s="264">
        <v>0</v>
      </c>
      <c r="T98" s="264"/>
      <c r="U98" s="262">
        <f t="shared" si="1"/>
        <v>124</v>
      </c>
      <c r="V98" s="264"/>
      <c r="W98" s="267">
        <f>'FY14 vs. ceiling by LEA'!W98</f>
        <v>150</v>
      </c>
      <c r="X98" s="264" t="s">
        <v>571</v>
      </c>
    </row>
    <row r="99" spans="1:24">
      <c r="A99" s="267" t="s">
        <v>421</v>
      </c>
      <c r="B99" s="261">
        <v>0</v>
      </c>
      <c r="C99" s="261">
        <v>0</v>
      </c>
      <c r="D99" s="261">
        <v>0</v>
      </c>
      <c r="E99" s="261">
        <v>0</v>
      </c>
      <c r="F99" s="261">
        <v>0</v>
      </c>
      <c r="G99" s="261">
        <v>0</v>
      </c>
      <c r="H99" s="261">
        <v>0</v>
      </c>
      <c r="I99" s="261">
        <v>0</v>
      </c>
      <c r="J99" s="261">
        <v>0</v>
      </c>
      <c r="K99" s="261">
        <v>0</v>
      </c>
      <c r="L99" s="261">
        <v>0</v>
      </c>
      <c r="M99" s="261">
        <v>0</v>
      </c>
      <c r="N99" s="261">
        <v>0</v>
      </c>
      <c r="O99" s="261">
        <v>0</v>
      </c>
      <c r="P99" s="261">
        <v>0</v>
      </c>
      <c r="Q99" s="261">
        <v>0</v>
      </c>
      <c r="R99" s="261">
        <v>0</v>
      </c>
      <c r="S99" s="261">
        <v>0</v>
      </c>
      <c r="U99" s="262">
        <f t="shared" si="1"/>
        <v>0</v>
      </c>
      <c r="W99" s="267">
        <f>'FY14 vs. ceiling by LEA'!W99</f>
        <v>360</v>
      </c>
      <c r="X99" s="264" t="s">
        <v>471</v>
      </c>
    </row>
    <row r="100" spans="1:24">
      <c r="A100" s="261" t="s">
        <v>572</v>
      </c>
      <c r="B100" s="261">
        <v>40</v>
      </c>
      <c r="C100" s="261">
        <v>22</v>
      </c>
      <c r="D100" s="261">
        <v>14</v>
      </c>
      <c r="E100" s="261">
        <v>7</v>
      </c>
      <c r="F100" s="266">
        <v>8</v>
      </c>
      <c r="G100" s="261">
        <v>0</v>
      </c>
      <c r="H100" s="261">
        <v>0</v>
      </c>
      <c r="I100" s="261">
        <v>0</v>
      </c>
      <c r="J100" s="261">
        <v>0</v>
      </c>
      <c r="K100" s="261">
        <v>0</v>
      </c>
      <c r="L100" s="261">
        <v>0</v>
      </c>
      <c r="M100" s="261">
        <v>0</v>
      </c>
      <c r="N100" s="261">
        <v>0</v>
      </c>
      <c r="O100" s="261">
        <v>0</v>
      </c>
      <c r="P100" s="261">
        <v>0</v>
      </c>
      <c r="Q100" s="261">
        <v>0</v>
      </c>
      <c r="R100" s="261">
        <v>0</v>
      </c>
      <c r="S100" s="261">
        <v>0</v>
      </c>
      <c r="U100" s="262">
        <f t="shared" si="1"/>
        <v>91</v>
      </c>
      <c r="W100" s="264">
        <f>'FY14 vs. ceiling by LEA'!W100</f>
        <v>91</v>
      </c>
      <c r="X100" s="264" t="s">
        <v>573</v>
      </c>
    </row>
    <row r="101" spans="1:24">
      <c r="A101" s="265" t="s">
        <v>574</v>
      </c>
      <c r="B101" s="264">
        <v>0</v>
      </c>
      <c r="C101" s="264">
        <v>0</v>
      </c>
      <c r="D101" s="264">
        <v>0</v>
      </c>
      <c r="E101" s="264">
        <v>0</v>
      </c>
      <c r="F101" s="264">
        <v>0</v>
      </c>
      <c r="G101" s="264">
        <v>0</v>
      </c>
      <c r="H101" s="264">
        <v>0</v>
      </c>
      <c r="I101" s="264">
        <v>0</v>
      </c>
      <c r="J101" s="266">
        <v>120</v>
      </c>
      <c r="K101" s="266">
        <v>60</v>
      </c>
      <c r="L101" s="266">
        <v>20</v>
      </c>
      <c r="M101" s="264"/>
      <c r="N101" s="264">
        <v>0</v>
      </c>
      <c r="O101" s="264">
        <v>0</v>
      </c>
      <c r="P101" s="264">
        <v>0</v>
      </c>
      <c r="Q101" s="264">
        <v>0</v>
      </c>
      <c r="R101" s="264">
        <v>0</v>
      </c>
      <c r="S101" s="264">
        <v>0</v>
      </c>
      <c r="T101" s="264"/>
      <c r="U101" s="262">
        <f t="shared" si="1"/>
        <v>200</v>
      </c>
      <c r="V101" s="264"/>
      <c r="W101" s="267">
        <f>'FY14 vs. ceiling by LEA'!W101</f>
        <v>400</v>
      </c>
      <c r="X101" s="264" t="s">
        <v>575</v>
      </c>
    </row>
    <row r="102" spans="1:24">
      <c r="A102" s="261" t="s">
        <v>576</v>
      </c>
      <c r="B102" s="261">
        <v>0</v>
      </c>
      <c r="C102" s="261">
        <v>0</v>
      </c>
      <c r="D102" s="261">
        <v>0</v>
      </c>
      <c r="E102" s="261">
        <v>0</v>
      </c>
      <c r="F102" s="261">
        <v>0</v>
      </c>
      <c r="G102" s="261">
        <v>0</v>
      </c>
      <c r="H102" s="261">
        <v>0</v>
      </c>
      <c r="I102" s="261">
        <v>0</v>
      </c>
      <c r="J102" s="261">
        <v>0</v>
      </c>
      <c r="K102" s="261">
        <v>0</v>
      </c>
      <c r="L102" s="261">
        <v>0</v>
      </c>
      <c r="M102" s="261">
        <v>0</v>
      </c>
      <c r="N102" s="261">
        <v>0</v>
      </c>
      <c r="O102" s="261">
        <v>0</v>
      </c>
      <c r="P102" s="261">
        <v>0</v>
      </c>
      <c r="Q102" s="261">
        <v>0</v>
      </c>
      <c r="R102" s="261">
        <v>250</v>
      </c>
      <c r="S102" s="261">
        <v>0</v>
      </c>
      <c r="U102" s="262">
        <f t="shared" si="1"/>
        <v>250</v>
      </c>
      <c r="W102" s="261">
        <f>'FY14 vs. ceiling by LEA'!W102</f>
        <v>250</v>
      </c>
      <c r="X102" s="264" t="s">
        <v>577</v>
      </c>
    </row>
    <row r="103" spans="1:24">
      <c r="A103" s="261" t="s">
        <v>578</v>
      </c>
      <c r="N103" s="261">
        <v>15</v>
      </c>
      <c r="O103" s="261">
        <v>35</v>
      </c>
      <c r="P103" s="261">
        <v>90</v>
      </c>
      <c r="S103" s="261">
        <v>160</v>
      </c>
      <c r="U103" s="262">
        <f t="shared" si="1"/>
        <v>300</v>
      </c>
      <c r="W103" s="261">
        <f>'FY14 vs. ceiling by LEA'!W103</f>
        <v>250</v>
      </c>
    </row>
    <row r="104" spans="1:24">
      <c r="A104" s="261" t="s">
        <v>579</v>
      </c>
      <c r="U104" s="262">
        <f t="shared" si="1"/>
        <v>0</v>
      </c>
    </row>
    <row r="105" spans="1:24">
      <c r="A105" s="261" t="s">
        <v>425</v>
      </c>
      <c r="M105" s="261">
        <v>135</v>
      </c>
      <c r="N105" s="261">
        <v>110</v>
      </c>
      <c r="O105" s="261">
        <v>85</v>
      </c>
      <c r="P105" s="261">
        <v>75</v>
      </c>
      <c r="U105" s="262">
        <f t="shared" si="1"/>
        <v>405</v>
      </c>
      <c r="W105" s="261">
        <f>'FY14 vs. ceiling by LEA'!W105</f>
        <v>420</v>
      </c>
      <c r="X105" s="264" t="s">
        <v>580</v>
      </c>
    </row>
    <row r="106" spans="1:24">
      <c r="A106" s="261" t="s">
        <v>581</v>
      </c>
      <c r="B106" s="261">
        <v>45</v>
      </c>
      <c r="C106" s="261">
        <v>45</v>
      </c>
      <c r="D106" s="261">
        <v>40</v>
      </c>
      <c r="E106" s="261">
        <v>40</v>
      </c>
      <c r="F106" s="261">
        <v>25</v>
      </c>
      <c r="G106" s="261">
        <v>25</v>
      </c>
      <c r="H106" s="261">
        <v>25</v>
      </c>
      <c r="I106" s="261">
        <v>20</v>
      </c>
      <c r="J106" s="261">
        <v>20</v>
      </c>
      <c r="K106" s="261">
        <v>20</v>
      </c>
      <c r="L106" s="261">
        <v>20</v>
      </c>
      <c r="M106" s="261">
        <v>0</v>
      </c>
      <c r="N106" s="261">
        <v>0</v>
      </c>
      <c r="O106" s="261">
        <v>0</v>
      </c>
      <c r="P106" s="261">
        <v>0</v>
      </c>
      <c r="Q106" s="261">
        <v>0</v>
      </c>
      <c r="R106" s="261">
        <v>0</v>
      </c>
      <c r="S106" s="261">
        <v>0</v>
      </c>
      <c r="U106" s="262">
        <f t="shared" si="1"/>
        <v>325</v>
      </c>
      <c r="W106" s="261">
        <f>'FY14 vs. ceiling by LEA'!W106</f>
        <v>540</v>
      </c>
      <c r="X106" s="264" t="s">
        <v>471</v>
      </c>
    </row>
    <row r="107" spans="1:24">
      <c r="A107" s="261" t="s">
        <v>582</v>
      </c>
      <c r="B107" s="261">
        <v>36</v>
      </c>
      <c r="C107" s="261">
        <v>44</v>
      </c>
      <c r="D107" s="261">
        <v>44</v>
      </c>
      <c r="E107" s="261">
        <v>48</v>
      </c>
      <c r="F107" s="261">
        <v>50</v>
      </c>
      <c r="G107" s="261">
        <v>50</v>
      </c>
      <c r="H107" s="261">
        <v>52</v>
      </c>
      <c r="I107" s="261">
        <v>44</v>
      </c>
      <c r="M107" s="261">
        <v>0</v>
      </c>
      <c r="N107" s="261">
        <v>0</v>
      </c>
      <c r="O107" s="261">
        <v>0</v>
      </c>
      <c r="P107" s="261">
        <v>0</v>
      </c>
      <c r="Q107" s="261">
        <v>0</v>
      </c>
      <c r="R107" s="261">
        <v>0</v>
      </c>
      <c r="S107" s="261">
        <v>0</v>
      </c>
      <c r="U107" s="262">
        <f t="shared" si="1"/>
        <v>368</v>
      </c>
      <c r="W107" s="261">
        <f>'FY14 vs. ceiling by LEA'!W107</f>
        <v>750</v>
      </c>
      <c r="X107" s="264" t="s">
        <v>580</v>
      </c>
    </row>
    <row r="108" spans="1:24">
      <c r="A108" s="261" t="s">
        <v>583</v>
      </c>
      <c r="J108" s="261">
        <v>49</v>
      </c>
      <c r="K108" s="261">
        <v>48</v>
      </c>
      <c r="L108" s="261">
        <v>49</v>
      </c>
      <c r="M108" s="261">
        <v>0</v>
      </c>
      <c r="N108" s="261">
        <v>0</v>
      </c>
      <c r="O108" s="261">
        <v>0</v>
      </c>
      <c r="P108" s="261">
        <v>0</v>
      </c>
      <c r="Q108" s="261">
        <v>0</v>
      </c>
      <c r="R108" s="261">
        <v>0</v>
      </c>
      <c r="S108" s="261">
        <v>0</v>
      </c>
      <c r="U108" s="262">
        <f t="shared" si="1"/>
        <v>146</v>
      </c>
    </row>
    <row r="109" spans="1:24">
      <c r="A109" s="261" t="s">
        <v>584</v>
      </c>
      <c r="B109" s="261">
        <v>0</v>
      </c>
      <c r="C109" s="261">
        <v>0</v>
      </c>
      <c r="D109" s="261">
        <v>0</v>
      </c>
      <c r="E109" s="261">
        <v>0</v>
      </c>
      <c r="F109" s="261">
        <v>0</v>
      </c>
      <c r="G109" s="261">
        <v>0</v>
      </c>
      <c r="H109" s="261">
        <v>0</v>
      </c>
      <c r="M109" s="261">
        <v>80</v>
      </c>
      <c r="N109" s="261">
        <v>75</v>
      </c>
      <c r="O109" s="261">
        <v>59</v>
      </c>
      <c r="P109" s="261">
        <v>55</v>
      </c>
      <c r="Q109" s="261">
        <v>0</v>
      </c>
      <c r="R109" s="261">
        <v>0</v>
      </c>
      <c r="S109" s="261">
        <v>0</v>
      </c>
      <c r="U109" s="262">
        <f t="shared" si="1"/>
        <v>269</v>
      </c>
      <c r="W109" s="261">
        <f>'FY14 vs. ceiling by LEA'!W109</f>
        <v>837</v>
      </c>
    </row>
    <row r="110" spans="1:24">
      <c r="A110" s="261" t="s">
        <v>585</v>
      </c>
      <c r="I110" s="261">
        <v>90</v>
      </c>
      <c r="J110" s="261">
        <v>90</v>
      </c>
      <c r="K110" s="261">
        <v>86</v>
      </c>
      <c r="L110" s="261">
        <v>86</v>
      </c>
      <c r="U110" s="262">
        <f t="shared" si="1"/>
        <v>352</v>
      </c>
    </row>
    <row r="111" spans="1:24">
      <c r="A111" s="261" t="s">
        <v>586</v>
      </c>
      <c r="B111" s="261">
        <v>0</v>
      </c>
      <c r="C111" s="261">
        <v>0</v>
      </c>
      <c r="D111" s="261">
        <v>0</v>
      </c>
      <c r="E111" s="261">
        <v>0</v>
      </c>
      <c r="F111" s="261">
        <v>0</v>
      </c>
      <c r="G111" s="261">
        <v>0</v>
      </c>
      <c r="H111" s="261">
        <v>0</v>
      </c>
      <c r="I111" s="261">
        <v>0</v>
      </c>
      <c r="J111" s="261">
        <v>0</v>
      </c>
      <c r="K111" s="261">
        <v>0</v>
      </c>
      <c r="L111" s="261">
        <v>0</v>
      </c>
      <c r="M111" s="261">
        <v>95</v>
      </c>
      <c r="N111" s="261">
        <v>90</v>
      </c>
      <c r="O111" s="261">
        <v>100</v>
      </c>
      <c r="P111" s="261">
        <v>80</v>
      </c>
      <c r="Q111" s="261">
        <v>0</v>
      </c>
      <c r="R111" s="261">
        <v>0</v>
      </c>
      <c r="S111" s="261">
        <v>0</v>
      </c>
      <c r="U111" s="262">
        <f t="shared" si="1"/>
        <v>365</v>
      </c>
      <c r="W111" s="261">
        <v>420</v>
      </c>
    </row>
    <row r="112" spans="1:24">
      <c r="A112" s="261" t="s">
        <v>587</v>
      </c>
      <c r="B112" s="261">
        <v>0</v>
      </c>
      <c r="C112" s="261">
        <v>76</v>
      </c>
      <c r="D112" s="261">
        <v>76</v>
      </c>
      <c r="E112" s="261">
        <v>114</v>
      </c>
      <c r="F112" s="261">
        <v>68</v>
      </c>
      <c r="G112" s="261">
        <v>64</v>
      </c>
      <c r="H112" s="261">
        <v>54</v>
      </c>
      <c r="I112" s="261">
        <v>41</v>
      </c>
      <c r="J112" s="266">
        <v>23</v>
      </c>
      <c r="K112" s="261">
        <v>0</v>
      </c>
      <c r="L112" s="261">
        <v>0</v>
      </c>
      <c r="M112" s="261">
        <v>0</v>
      </c>
      <c r="N112" s="261">
        <v>0</v>
      </c>
      <c r="O112" s="261">
        <v>0</v>
      </c>
      <c r="P112" s="261">
        <v>0</v>
      </c>
      <c r="Q112" s="261">
        <v>0</v>
      </c>
      <c r="R112" s="261">
        <v>0</v>
      </c>
      <c r="S112" s="261">
        <v>0</v>
      </c>
      <c r="U112" s="262">
        <f t="shared" si="1"/>
        <v>516</v>
      </c>
      <c r="W112" s="261">
        <v>468</v>
      </c>
      <c r="X112" s="264" t="s">
        <v>588</v>
      </c>
    </row>
    <row r="113" spans="1:23">
      <c r="A113" s="261" t="s">
        <v>589</v>
      </c>
      <c r="B113" s="261">
        <v>40</v>
      </c>
      <c r="C113" s="261">
        <v>60</v>
      </c>
      <c r="D113" s="261">
        <v>60</v>
      </c>
      <c r="E113" s="261">
        <v>60</v>
      </c>
      <c r="F113" s="261">
        <v>42</v>
      </c>
      <c r="G113" s="261">
        <v>42</v>
      </c>
      <c r="H113" s="261">
        <v>43</v>
      </c>
      <c r="I113" s="261">
        <v>40</v>
      </c>
      <c r="J113" s="261">
        <v>25</v>
      </c>
      <c r="K113" s="261">
        <v>26</v>
      </c>
      <c r="L113" s="261">
        <v>22</v>
      </c>
      <c r="S113" s="261">
        <v>0</v>
      </c>
      <c r="U113" s="262">
        <f>SUM(B113:T113)</f>
        <v>460</v>
      </c>
      <c r="W113" s="261">
        <v>855</v>
      </c>
    </row>
    <row r="114" spans="1:23">
      <c r="A114" s="261" t="s">
        <v>590</v>
      </c>
      <c r="B114" s="261">
        <v>0</v>
      </c>
      <c r="C114" s="261">
        <v>0</v>
      </c>
      <c r="D114" s="261">
        <v>0</v>
      </c>
      <c r="E114" s="261">
        <v>0</v>
      </c>
      <c r="F114" s="261">
        <v>0</v>
      </c>
      <c r="G114" s="261">
        <v>0</v>
      </c>
      <c r="H114" s="261">
        <v>0</v>
      </c>
      <c r="I114" s="261">
        <v>0</v>
      </c>
      <c r="J114" s="261">
        <v>0</v>
      </c>
      <c r="K114" s="261">
        <v>0</v>
      </c>
      <c r="L114" s="261">
        <v>0</v>
      </c>
      <c r="M114" s="261">
        <v>0</v>
      </c>
      <c r="N114" s="261">
        <v>0</v>
      </c>
      <c r="O114" s="261">
        <v>0</v>
      </c>
      <c r="P114" s="261">
        <v>0</v>
      </c>
      <c r="Q114" s="261">
        <v>115</v>
      </c>
      <c r="R114" s="261">
        <v>0</v>
      </c>
      <c r="S114" s="261">
        <v>0</v>
      </c>
      <c r="U114" s="262">
        <f>SUM(B114:T114)</f>
        <v>115</v>
      </c>
      <c r="W114" s="261">
        <f>'FY14 vs. ceiling by LEA'!W114</f>
        <v>115</v>
      </c>
    </row>
    <row r="115" spans="1:23">
      <c r="A115" s="262" t="s">
        <v>457</v>
      </c>
      <c r="B115" s="262">
        <f>SUM(B2:B114)</f>
        <v>3015</v>
      </c>
      <c r="C115" s="262">
        <f t="shared" ref="C115:T115" si="2">SUM(C2:C114)</f>
        <v>3133</v>
      </c>
      <c r="D115" s="262">
        <f t="shared" si="2"/>
        <v>3063</v>
      </c>
      <c r="E115" s="262">
        <f t="shared" si="2"/>
        <v>2734</v>
      </c>
      <c r="F115" s="262">
        <f t="shared" si="2"/>
        <v>2306</v>
      </c>
      <c r="G115" s="262">
        <f t="shared" si="2"/>
        <v>1975</v>
      </c>
      <c r="H115" s="262">
        <f t="shared" si="2"/>
        <v>1757</v>
      </c>
      <c r="I115" s="262">
        <f t="shared" si="2"/>
        <v>1949</v>
      </c>
      <c r="J115" s="262">
        <f t="shared" si="2"/>
        <v>2524</v>
      </c>
      <c r="K115" s="262">
        <f t="shared" si="2"/>
        <v>2175</v>
      </c>
      <c r="L115" s="262">
        <f t="shared" si="2"/>
        <v>2027</v>
      </c>
      <c r="M115" s="262">
        <f t="shared" si="2"/>
        <v>2189</v>
      </c>
      <c r="N115" s="262">
        <f t="shared" si="2"/>
        <v>1942</v>
      </c>
      <c r="O115" s="262">
        <f t="shared" si="2"/>
        <v>1624</v>
      </c>
      <c r="P115" s="262">
        <f t="shared" si="2"/>
        <v>1282</v>
      </c>
      <c r="Q115" s="262">
        <f t="shared" si="2"/>
        <v>565</v>
      </c>
      <c r="R115" s="262">
        <f t="shared" si="2"/>
        <v>250</v>
      </c>
      <c r="S115" s="262">
        <f t="shared" si="2"/>
        <v>2956</v>
      </c>
      <c r="T115" s="262">
        <f t="shared" si="2"/>
        <v>0</v>
      </c>
      <c r="U115" s="262">
        <f>SUM(U2:U114)</f>
        <v>37466</v>
      </c>
      <c r="V115" s="262">
        <f t="shared" ref="V115" si="3">SUM(V2:V114)</f>
        <v>0</v>
      </c>
      <c r="W115" s="262">
        <f>SUM(W2:W114)</f>
        <v>46191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B115"/>
  <sheetViews>
    <sheetView workbookViewId="0">
      <pane xSplit="1" ySplit="1" topLeftCell="U17" activePane="bottomRight" state="frozenSplit"/>
      <selection activeCell="B87" sqref="B87"/>
      <selection pane="topRight" activeCell="B87" sqref="B87"/>
      <selection pane="bottomLeft" activeCell="B87" sqref="B87"/>
      <selection pane="bottomRight" activeCell="B87" sqref="B87"/>
    </sheetView>
  </sheetViews>
  <sheetFormatPr baseColWidth="10" defaultColWidth="10.83203125" defaultRowHeight="14" x14ac:dyDescent="0"/>
  <cols>
    <col min="1" max="1" width="49.83203125" style="261" customWidth="1"/>
    <col min="2" max="20" width="10.83203125" style="261" hidden="1" customWidth="1"/>
    <col min="21" max="21" width="15" style="261" customWidth="1"/>
    <col min="22" max="22" width="1.5" style="264" customWidth="1"/>
    <col min="23" max="23" width="12.5" style="261" customWidth="1"/>
    <col min="24" max="24" width="2.1640625" style="264" customWidth="1"/>
    <col min="25" max="16384" width="10.83203125" style="264"/>
  </cols>
  <sheetData>
    <row r="1" spans="1:28" ht="42">
      <c r="A1" s="261" t="s">
        <v>449</v>
      </c>
      <c r="B1" s="261" t="s">
        <v>450</v>
      </c>
      <c r="C1" s="261" t="s">
        <v>451</v>
      </c>
      <c r="D1" s="261" t="s">
        <v>452</v>
      </c>
      <c r="E1" s="261">
        <v>1</v>
      </c>
      <c r="F1" s="261">
        <v>2</v>
      </c>
      <c r="G1" s="261">
        <v>3</v>
      </c>
      <c r="H1" s="261">
        <v>4</v>
      </c>
      <c r="I1" s="261">
        <v>5</v>
      </c>
      <c r="J1" s="261">
        <v>6</v>
      </c>
      <c r="K1" s="261">
        <v>7</v>
      </c>
      <c r="L1" s="261">
        <v>8</v>
      </c>
      <c r="M1" s="261">
        <v>9</v>
      </c>
      <c r="N1" s="261">
        <v>10</v>
      </c>
      <c r="O1" s="261">
        <v>11</v>
      </c>
      <c r="P1" s="261">
        <v>12</v>
      </c>
      <c r="Q1" s="261" t="s">
        <v>453</v>
      </c>
      <c r="R1" s="261" t="s">
        <v>454</v>
      </c>
      <c r="S1" s="261" t="s">
        <v>455</v>
      </c>
      <c r="T1" s="261" t="s">
        <v>456</v>
      </c>
      <c r="U1" s="262" t="s">
        <v>592</v>
      </c>
      <c r="W1" s="263" t="s">
        <v>458</v>
      </c>
      <c r="AB1" s="264" t="s">
        <v>459</v>
      </c>
    </row>
    <row r="2" spans="1:28">
      <c r="A2" s="261" t="s">
        <v>460</v>
      </c>
      <c r="B2" s="261">
        <f>'[8]FY14 Projections by grd (PCS)'!B2</f>
        <v>0</v>
      </c>
      <c r="C2" s="261">
        <f>'[8]FY14 Projections by grd (PCS)'!C2</f>
        <v>0</v>
      </c>
      <c r="D2" s="261">
        <f>'[8]FY14 Projections by grd (PCS)'!D2</f>
        <v>80</v>
      </c>
      <c r="E2" s="261">
        <f>'[8]FY14 Projections by grd (PCS)'!E2</f>
        <v>75</v>
      </c>
      <c r="F2" s="261">
        <f>'[8]FY14 Projections by grd (PCS)'!F2</f>
        <v>50</v>
      </c>
      <c r="G2" s="261">
        <f>'[8]FY14 Projections by grd (PCS)'!G2</f>
        <v>50</v>
      </c>
      <c r="H2" s="261">
        <f>'[8]FY14 Projections by grd (PCS)'!H2</f>
        <v>80</v>
      </c>
      <c r="I2" s="261">
        <f>'[8]FY14 Projections by grd (PCS)'!I2</f>
        <v>100</v>
      </c>
      <c r="J2" s="261">
        <f>'[8]FY14 Projections by grd (PCS)'!J2</f>
        <v>100</v>
      </c>
      <c r="K2" s="261">
        <f>'[8]FY14 Projections by grd (PCS)'!K2</f>
        <v>80</v>
      </c>
      <c r="L2" s="261">
        <f>'[8]FY14 Projections by grd (PCS)'!L2</f>
        <v>29</v>
      </c>
      <c r="M2" s="261">
        <f>'[8]FY14 Projections by grd (PCS)'!M2</f>
        <v>0</v>
      </c>
      <c r="N2" s="261">
        <f>'[8]FY14 Projections by grd (PCS)'!N2</f>
        <v>0</v>
      </c>
      <c r="O2" s="261">
        <f>'[8]FY14 Projections by grd (PCS)'!O2</f>
        <v>0</v>
      </c>
      <c r="P2" s="261">
        <f>'[8]FY14 Projections by grd (PCS)'!P2</f>
        <v>0</v>
      </c>
      <c r="Q2" s="261">
        <f>'[8]FY14 Projections by grd (PCS)'!Q2</f>
        <v>0</v>
      </c>
      <c r="R2" s="261">
        <f>'[8]FY14 Projections by grd (PCS)'!R2</f>
        <v>0</v>
      </c>
      <c r="S2" s="261">
        <f>'[8]FY14 Projections by grd (PCS)'!S2</f>
        <v>0</v>
      </c>
      <c r="T2" s="261">
        <f>'[8]FY14 Projections by grd (PCS)'!T2</f>
        <v>0</v>
      </c>
      <c r="U2" s="262">
        <f>'[8]FY14 Projections by grd (PCS)'!U2</f>
        <v>644</v>
      </c>
      <c r="W2" s="261">
        <v>300</v>
      </c>
      <c r="Y2" s="264" t="str">
        <f>IF(U2&gt;W2,"Enrollment ceiling increase required","Enrollment ceiling increase not required")</f>
        <v>Enrollment ceiling increase required</v>
      </c>
      <c r="AB2" s="264" t="s">
        <v>614</v>
      </c>
    </row>
    <row r="3" spans="1:28">
      <c r="A3" s="264" t="s">
        <v>591</v>
      </c>
      <c r="B3" s="264">
        <f>'[8]FY14 Projections by grd (PCS)'!B3</f>
        <v>41</v>
      </c>
      <c r="C3" s="264">
        <f>'[8]FY14 Projections by grd (PCS)'!C3</f>
        <v>0</v>
      </c>
      <c r="D3" s="264">
        <f>'[8]FY14 Projections by grd (PCS)'!D3</f>
        <v>0</v>
      </c>
      <c r="E3" s="264">
        <f>'[8]FY14 Projections by grd (PCS)'!E3</f>
        <v>0</v>
      </c>
      <c r="F3" s="264">
        <f>'[8]FY14 Projections by grd (PCS)'!F3</f>
        <v>0</v>
      </c>
      <c r="G3" s="264">
        <f>'[8]FY14 Projections by grd (PCS)'!G3</f>
        <v>0</v>
      </c>
      <c r="H3" s="264">
        <f>'[8]FY14 Projections by grd (PCS)'!H3</f>
        <v>0</v>
      </c>
      <c r="I3" s="264">
        <f>'[8]FY14 Projections by grd (PCS)'!I3</f>
        <v>0</v>
      </c>
      <c r="J3" s="264">
        <f>'[8]FY14 Projections by grd (PCS)'!J3</f>
        <v>0</v>
      </c>
      <c r="K3" s="264">
        <f>'[8]FY14 Projections by grd (PCS)'!K3</f>
        <v>0</v>
      </c>
      <c r="L3" s="264">
        <f>'[8]FY14 Projections by grd (PCS)'!L3</f>
        <v>0</v>
      </c>
      <c r="M3" s="264">
        <f>'[8]FY14 Projections by grd (PCS)'!M3</f>
        <v>0</v>
      </c>
      <c r="N3" s="264">
        <f>'[8]FY14 Projections by grd (PCS)'!N3</f>
        <v>0</v>
      </c>
      <c r="O3" s="264">
        <f>'[8]FY14 Projections by grd (PCS)'!O3</f>
        <v>0</v>
      </c>
      <c r="P3" s="264">
        <f>'[8]FY14 Projections by grd (PCS)'!P3</f>
        <v>0</v>
      </c>
      <c r="Q3" s="264">
        <f>'[8]FY14 Projections by grd (PCS)'!Q3</f>
        <v>0</v>
      </c>
      <c r="R3" s="264">
        <f>'[8]FY14 Projections by grd (PCS)'!R3</f>
        <v>0</v>
      </c>
      <c r="S3" s="264">
        <f>'[8]FY14 Projections by grd (PCS)'!S3</f>
        <v>0</v>
      </c>
      <c r="T3" s="264">
        <f>'[8]FY14 Projections by grd (PCS)'!T3</f>
        <v>0</v>
      </c>
      <c r="U3" s="262">
        <f>SUM(B3:T3)+SUM(U4:U9)</f>
        <v>630</v>
      </c>
      <c r="W3" s="264">
        <v>651</v>
      </c>
      <c r="Y3" s="264" t="str">
        <f t="shared" ref="Y3:Y66" si="0">IF(U3&gt;W3,"Enrollment ceiling increase required","Enrollment ceiling increase not required")</f>
        <v>Enrollment ceiling increase not required</v>
      </c>
    </row>
    <row r="4" spans="1:28" hidden="1">
      <c r="A4" s="264" t="s">
        <v>463</v>
      </c>
      <c r="B4" s="264">
        <f>'[8]FY14 Projections by grd (PCS)'!B4</f>
        <v>81</v>
      </c>
      <c r="C4" s="264">
        <f>'[8]FY14 Projections by grd (PCS)'!C4</f>
        <v>81</v>
      </c>
      <c r="D4" s="264">
        <f>'[8]FY14 Projections by grd (PCS)'!D4</f>
        <v>0</v>
      </c>
      <c r="E4" s="264">
        <f>'[8]FY14 Projections by grd (PCS)'!E4</f>
        <v>0</v>
      </c>
      <c r="F4" s="264">
        <f>'[8]FY14 Projections by grd (PCS)'!F4</f>
        <v>0</v>
      </c>
      <c r="G4" s="264">
        <f>'[8]FY14 Projections by grd (PCS)'!G4</f>
        <v>0</v>
      </c>
      <c r="H4" s="264">
        <f>'[8]FY14 Projections by grd (PCS)'!H4</f>
        <v>0</v>
      </c>
      <c r="I4" s="264">
        <f>'[8]FY14 Projections by grd (PCS)'!I4</f>
        <v>0</v>
      </c>
      <c r="J4" s="264">
        <f>'[8]FY14 Projections by grd (PCS)'!J4</f>
        <v>0</v>
      </c>
      <c r="K4" s="264">
        <f>'[8]FY14 Projections by grd (PCS)'!K4</f>
        <v>0</v>
      </c>
      <c r="L4" s="264">
        <f>'[8]FY14 Projections by grd (PCS)'!L4</f>
        <v>0</v>
      </c>
      <c r="M4" s="264">
        <f>'[8]FY14 Projections by grd (PCS)'!M4</f>
        <v>0</v>
      </c>
      <c r="N4" s="264">
        <f>'[8]FY14 Projections by grd (PCS)'!N4</f>
        <v>0</v>
      </c>
      <c r="O4" s="264">
        <f>'[8]FY14 Projections by grd (PCS)'!O4</f>
        <v>0</v>
      </c>
      <c r="P4" s="264">
        <f>'[8]FY14 Projections by grd (PCS)'!P4</f>
        <v>0</v>
      </c>
      <c r="Q4" s="264">
        <f>'[8]FY14 Projections by grd (PCS)'!Q4</f>
        <v>0</v>
      </c>
      <c r="R4" s="264">
        <f>'[8]FY14 Projections by grd (PCS)'!R4</f>
        <v>0</v>
      </c>
      <c r="S4" s="264">
        <f>'[8]FY14 Projections by grd (PCS)'!S4</f>
        <v>0</v>
      </c>
      <c r="T4" s="264">
        <f>'[8]FY14 Projections by grd (PCS)'!T4</f>
        <v>0</v>
      </c>
      <c r="U4" s="262">
        <f t="shared" ref="U4:U66" si="1">SUM(B4:T4)</f>
        <v>162</v>
      </c>
      <c r="W4" s="264"/>
      <c r="Y4" s="264" t="str">
        <f t="shared" si="0"/>
        <v>Enrollment ceiling increase required</v>
      </c>
    </row>
    <row r="5" spans="1:28" hidden="1">
      <c r="A5" s="264" t="s">
        <v>465</v>
      </c>
      <c r="B5" s="264">
        <f>'[8]FY14 Projections by grd (PCS)'!B5</f>
        <v>41</v>
      </c>
      <c r="C5" s="264">
        <f>'[8]FY14 Projections by grd (PCS)'!C5</f>
        <v>41</v>
      </c>
      <c r="D5" s="264">
        <f>'[8]FY14 Projections by grd (PCS)'!D5</f>
        <v>0</v>
      </c>
      <c r="E5" s="264">
        <f>'[8]FY14 Projections by grd (PCS)'!E5</f>
        <v>0</v>
      </c>
      <c r="F5" s="264">
        <f>'[8]FY14 Projections by grd (PCS)'!F5</f>
        <v>0</v>
      </c>
      <c r="G5" s="264">
        <f>'[8]FY14 Projections by grd (PCS)'!G5</f>
        <v>0</v>
      </c>
      <c r="H5" s="264">
        <f>'[8]FY14 Projections by grd (PCS)'!H5</f>
        <v>0</v>
      </c>
      <c r="I5" s="264">
        <f>'[8]FY14 Projections by grd (PCS)'!I5</f>
        <v>0</v>
      </c>
      <c r="J5" s="264">
        <f>'[8]FY14 Projections by grd (PCS)'!J5</f>
        <v>0</v>
      </c>
      <c r="K5" s="264">
        <f>'[8]FY14 Projections by grd (PCS)'!K5</f>
        <v>0</v>
      </c>
      <c r="L5" s="264">
        <f>'[8]FY14 Projections by grd (PCS)'!L5</f>
        <v>0</v>
      </c>
      <c r="M5" s="264">
        <f>'[8]FY14 Projections by grd (PCS)'!M5</f>
        <v>0</v>
      </c>
      <c r="N5" s="264">
        <f>'[8]FY14 Projections by grd (PCS)'!N5</f>
        <v>0</v>
      </c>
      <c r="O5" s="264">
        <f>'[8]FY14 Projections by grd (PCS)'!O5</f>
        <v>0</v>
      </c>
      <c r="P5" s="264">
        <f>'[8]FY14 Projections by grd (PCS)'!P5</f>
        <v>0</v>
      </c>
      <c r="Q5" s="264">
        <f>'[8]FY14 Projections by grd (PCS)'!Q5</f>
        <v>0</v>
      </c>
      <c r="R5" s="264">
        <f>'[8]FY14 Projections by grd (PCS)'!R5</f>
        <v>0</v>
      </c>
      <c r="S5" s="264">
        <f>'[8]FY14 Projections by grd (PCS)'!S5</f>
        <v>0</v>
      </c>
      <c r="T5" s="264">
        <f>'[8]FY14 Projections by grd (PCS)'!T5</f>
        <v>0</v>
      </c>
      <c r="U5" s="262">
        <f t="shared" si="1"/>
        <v>82</v>
      </c>
      <c r="W5" s="264"/>
      <c r="Y5" s="264" t="str">
        <f t="shared" si="0"/>
        <v>Enrollment ceiling increase required</v>
      </c>
    </row>
    <row r="6" spans="1:28" hidden="1">
      <c r="A6" s="264" t="s">
        <v>466</v>
      </c>
      <c r="B6" s="264">
        <f>'[8]FY14 Projections by grd (PCS)'!B6</f>
        <v>41</v>
      </c>
      <c r="C6" s="264">
        <f>'[8]FY14 Projections by grd (PCS)'!C6</f>
        <v>21</v>
      </c>
      <c r="D6" s="264">
        <f>'[8]FY14 Projections by grd (PCS)'!D6</f>
        <v>0</v>
      </c>
      <c r="E6" s="264">
        <f>'[8]FY14 Projections by grd (PCS)'!E6</f>
        <v>0</v>
      </c>
      <c r="F6" s="264">
        <f>'[8]FY14 Projections by grd (PCS)'!F6</f>
        <v>0</v>
      </c>
      <c r="G6" s="264">
        <f>'[8]FY14 Projections by grd (PCS)'!G6</f>
        <v>0</v>
      </c>
      <c r="H6" s="264">
        <f>'[8]FY14 Projections by grd (PCS)'!H6</f>
        <v>0</v>
      </c>
      <c r="I6" s="264">
        <f>'[8]FY14 Projections by grd (PCS)'!I6</f>
        <v>0</v>
      </c>
      <c r="J6" s="264">
        <f>'[8]FY14 Projections by grd (PCS)'!J6</f>
        <v>0</v>
      </c>
      <c r="K6" s="264">
        <f>'[8]FY14 Projections by grd (PCS)'!K6</f>
        <v>0</v>
      </c>
      <c r="L6" s="264">
        <f>'[8]FY14 Projections by grd (PCS)'!L6</f>
        <v>0</v>
      </c>
      <c r="M6" s="264">
        <f>'[8]FY14 Projections by grd (PCS)'!M6</f>
        <v>0</v>
      </c>
      <c r="N6" s="264">
        <f>'[8]FY14 Projections by grd (PCS)'!N6</f>
        <v>0</v>
      </c>
      <c r="O6" s="264">
        <f>'[8]FY14 Projections by grd (PCS)'!O6</f>
        <v>0</v>
      </c>
      <c r="P6" s="264">
        <f>'[8]FY14 Projections by grd (PCS)'!P6</f>
        <v>0</v>
      </c>
      <c r="Q6" s="264">
        <f>'[8]FY14 Projections by grd (PCS)'!Q6</f>
        <v>0</v>
      </c>
      <c r="R6" s="264">
        <f>'[8]FY14 Projections by grd (PCS)'!R6</f>
        <v>0</v>
      </c>
      <c r="S6" s="264">
        <f>'[8]FY14 Projections by grd (PCS)'!S6</f>
        <v>0</v>
      </c>
      <c r="T6" s="264">
        <f>'[8]FY14 Projections by grd (PCS)'!T6</f>
        <v>0</v>
      </c>
      <c r="U6" s="262">
        <f t="shared" si="1"/>
        <v>62</v>
      </c>
      <c r="W6" s="264"/>
      <c r="Y6" s="264" t="str">
        <f t="shared" si="0"/>
        <v>Enrollment ceiling increase required</v>
      </c>
    </row>
    <row r="7" spans="1:28" hidden="1">
      <c r="A7" s="264" t="s">
        <v>467</v>
      </c>
      <c r="B7" s="264">
        <f>'[8]FY14 Projections by grd (PCS)'!B7</f>
        <v>100</v>
      </c>
      <c r="C7" s="264">
        <f>'[8]FY14 Projections by grd (PCS)'!C7</f>
        <v>60</v>
      </c>
      <c r="D7" s="264">
        <f>'[8]FY14 Projections by grd (PCS)'!D7</f>
        <v>0</v>
      </c>
      <c r="E7" s="264">
        <f>'[8]FY14 Projections by grd (PCS)'!E7</f>
        <v>0</v>
      </c>
      <c r="F7" s="264">
        <f>'[8]FY14 Projections by grd (PCS)'!F7</f>
        <v>0</v>
      </c>
      <c r="G7" s="264">
        <f>'[8]FY14 Projections by grd (PCS)'!G7</f>
        <v>0</v>
      </c>
      <c r="H7" s="264">
        <f>'[8]FY14 Projections by grd (PCS)'!H7</f>
        <v>0</v>
      </c>
      <c r="I7" s="264">
        <f>'[8]FY14 Projections by grd (PCS)'!I7</f>
        <v>0</v>
      </c>
      <c r="J7" s="264">
        <f>'[8]FY14 Projections by grd (PCS)'!J7</f>
        <v>0</v>
      </c>
      <c r="K7" s="264">
        <f>'[8]FY14 Projections by grd (PCS)'!K7</f>
        <v>0</v>
      </c>
      <c r="L7" s="264">
        <f>'[8]FY14 Projections by grd (PCS)'!L7</f>
        <v>0</v>
      </c>
      <c r="M7" s="264">
        <f>'[8]FY14 Projections by grd (PCS)'!M7</f>
        <v>0</v>
      </c>
      <c r="N7" s="264">
        <f>'[8]FY14 Projections by grd (PCS)'!N7</f>
        <v>0</v>
      </c>
      <c r="O7" s="264">
        <f>'[8]FY14 Projections by grd (PCS)'!O7</f>
        <v>0</v>
      </c>
      <c r="P7" s="264">
        <f>'[8]FY14 Projections by grd (PCS)'!P7</f>
        <v>0</v>
      </c>
      <c r="Q7" s="264">
        <f>'[8]FY14 Projections by grd (PCS)'!Q7</f>
        <v>0</v>
      </c>
      <c r="R7" s="264">
        <f>'[8]FY14 Projections by grd (PCS)'!R7</f>
        <v>0</v>
      </c>
      <c r="S7" s="264">
        <f>'[8]FY14 Projections by grd (PCS)'!S7</f>
        <v>0</v>
      </c>
      <c r="T7" s="264">
        <f>'[8]FY14 Projections by grd (PCS)'!T7</f>
        <v>0</v>
      </c>
      <c r="U7" s="262">
        <f t="shared" si="1"/>
        <v>160</v>
      </c>
      <c r="W7" s="264"/>
      <c r="Y7" s="264" t="str">
        <f t="shared" si="0"/>
        <v>Enrollment ceiling increase required</v>
      </c>
    </row>
    <row r="8" spans="1:28" hidden="1">
      <c r="A8" s="264" t="s">
        <v>468</v>
      </c>
      <c r="B8" s="264">
        <f>'[8]FY14 Projections by grd (PCS)'!B8</f>
        <v>41</v>
      </c>
      <c r="C8" s="264">
        <f>'[8]FY14 Projections by grd (PCS)'!C8</f>
        <v>41</v>
      </c>
      <c r="D8" s="264">
        <f>'[8]FY14 Projections by grd (PCS)'!D8</f>
        <v>0</v>
      </c>
      <c r="E8" s="264">
        <f>'[8]FY14 Projections by grd (PCS)'!E8</f>
        <v>0</v>
      </c>
      <c r="F8" s="264">
        <f>'[8]FY14 Projections by grd (PCS)'!F8</f>
        <v>0</v>
      </c>
      <c r="G8" s="264">
        <f>'[8]FY14 Projections by grd (PCS)'!G8</f>
        <v>0</v>
      </c>
      <c r="H8" s="264">
        <f>'[8]FY14 Projections by grd (PCS)'!H8</f>
        <v>0</v>
      </c>
      <c r="I8" s="264">
        <f>'[8]FY14 Projections by grd (PCS)'!I8</f>
        <v>0</v>
      </c>
      <c r="J8" s="264">
        <f>'[8]FY14 Projections by grd (PCS)'!J8</f>
        <v>0</v>
      </c>
      <c r="K8" s="264">
        <f>'[8]FY14 Projections by grd (PCS)'!K8</f>
        <v>0</v>
      </c>
      <c r="L8" s="264">
        <f>'[8]FY14 Projections by grd (PCS)'!L8</f>
        <v>0</v>
      </c>
      <c r="M8" s="264">
        <f>'[8]FY14 Projections by grd (PCS)'!M8</f>
        <v>0</v>
      </c>
      <c r="N8" s="264">
        <f>'[8]FY14 Projections by grd (PCS)'!N8</f>
        <v>0</v>
      </c>
      <c r="O8" s="264">
        <f>'[8]FY14 Projections by grd (PCS)'!O8</f>
        <v>0</v>
      </c>
      <c r="P8" s="264">
        <f>'[8]FY14 Projections by grd (PCS)'!P8</f>
        <v>0</v>
      </c>
      <c r="Q8" s="264">
        <f>'[8]FY14 Projections by grd (PCS)'!Q8</f>
        <v>0</v>
      </c>
      <c r="R8" s="264">
        <f>'[8]FY14 Projections by grd (PCS)'!R8</f>
        <v>0</v>
      </c>
      <c r="S8" s="264">
        <f>'[8]FY14 Projections by grd (PCS)'!S8</f>
        <v>0</v>
      </c>
      <c r="T8" s="264">
        <f>'[8]FY14 Projections by grd (PCS)'!T8</f>
        <v>0</v>
      </c>
      <c r="U8" s="262">
        <f t="shared" si="1"/>
        <v>82</v>
      </c>
      <c r="W8" s="264"/>
      <c r="Y8" s="264" t="str">
        <f t="shared" si="0"/>
        <v>Enrollment ceiling increase required</v>
      </c>
    </row>
    <row r="9" spans="1:28" hidden="1">
      <c r="A9" s="264" t="s">
        <v>469</v>
      </c>
      <c r="B9" s="264">
        <f>'[8]FY14 Projections by grd (PCS)'!B9</f>
        <v>0</v>
      </c>
      <c r="C9" s="264">
        <f>'[8]FY14 Projections by grd (PCS)'!C9</f>
        <v>41</v>
      </c>
      <c r="D9" s="264">
        <f>'[8]FY14 Projections by grd (PCS)'!D9</f>
        <v>0</v>
      </c>
      <c r="E9" s="264">
        <f>'[8]FY14 Projections by grd (PCS)'!E9</f>
        <v>0</v>
      </c>
      <c r="F9" s="264">
        <f>'[8]FY14 Projections by grd (PCS)'!F9</f>
        <v>0</v>
      </c>
      <c r="G9" s="264">
        <f>'[8]FY14 Projections by grd (PCS)'!G9</f>
        <v>0</v>
      </c>
      <c r="H9" s="264">
        <f>'[8]FY14 Projections by grd (PCS)'!H9</f>
        <v>0</v>
      </c>
      <c r="I9" s="264">
        <f>'[8]FY14 Projections by grd (PCS)'!I9</f>
        <v>0</v>
      </c>
      <c r="J9" s="264">
        <f>'[8]FY14 Projections by grd (PCS)'!J9</f>
        <v>0</v>
      </c>
      <c r="K9" s="264">
        <f>'[8]FY14 Projections by grd (PCS)'!K9</f>
        <v>0</v>
      </c>
      <c r="L9" s="264">
        <f>'[8]FY14 Projections by grd (PCS)'!L9</f>
        <v>0</v>
      </c>
      <c r="M9" s="264">
        <f>'[8]FY14 Projections by grd (PCS)'!M9</f>
        <v>0</v>
      </c>
      <c r="N9" s="264">
        <f>'[8]FY14 Projections by grd (PCS)'!N9</f>
        <v>0</v>
      </c>
      <c r="O9" s="264">
        <f>'[8]FY14 Projections by grd (PCS)'!O9</f>
        <v>0</v>
      </c>
      <c r="P9" s="264">
        <f>'[8]FY14 Projections by grd (PCS)'!P9</f>
        <v>0</v>
      </c>
      <c r="Q9" s="264">
        <f>'[8]FY14 Projections by grd (PCS)'!Q9</f>
        <v>0</v>
      </c>
      <c r="R9" s="264">
        <f>'[8]FY14 Projections by grd (PCS)'!R9</f>
        <v>0</v>
      </c>
      <c r="S9" s="264">
        <f>'[8]FY14 Projections by grd (PCS)'!S9</f>
        <v>0</v>
      </c>
      <c r="T9" s="264">
        <f>'[8]FY14 Projections by grd (PCS)'!T9</f>
        <v>0</v>
      </c>
      <c r="U9" s="262">
        <f t="shared" si="1"/>
        <v>41</v>
      </c>
      <c r="W9" s="264"/>
      <c r="Y9" s="264" t="str">
        <f t="shared" si="0"/>
        <v>Enrollment ceiling increase required</v>
      </c>
    </row>
    <row r="10" spans="1:28">
      <c r="A10" s="264" t="s">
        <v>470</v>
      </c>
      <c r="B10" s="264">
        <f>'[8]FY14 Projections by grd (PCS)'!B10</f>
        <v>75</v>
      </c>
      <c r="C10" s="264">
        <f>'[8]FY14 Projections by grd (PCS)'!C10</f>
        <v>90</v>
      </c>
      <c r="D10" s="264">
        <f>'[8]FY14 Projections by grd (PCS)'!D10</f>
        <v>100</v>
      </c>
      <c r="E10" s="264">
        <f>'[8]FY14 Projections by grd (PCS)'!E10</f>
        <v>75</v>
      </c>
      <c r="F10" s="264">
        <f>'[8]FY14 Projections by grd (PCS)'!F10</f>
        <v>75</v>
      </c>
      <c r="G10" s="264">
        <f>'[8]FY14 Projections by grd (PCS)'!G10</f>
        <v>75</v>
      </c>
      <c r="H10" s="264">
        <f>'[8]FY14 Projections by grd (PCS)'!H10</f>
        <v>75</v>
      </c>
      <c r="I10" s="264">
        <f>'[8]FY14 Projections by grd (PCS)'!I10</f>
        <v>75</v>
      </c>
      <c r="J10" s="264">
        <f>'[8]FY14 Projections by grd (PCS)'!J10</f>
        <v>0</v>
      </c>
      <c r="K10" s="264">
        <f>'[8]FY14 Projections by grd (PCS)'!K10</f>
        <v>0</v>
      </c>
      <c r="L10" s="264">
        <f>'[8]FY14 Projections by grd (PCS)'!L10</f>
        <v>0</v>
      </c>
      <c r="M10" s="264">
        <f>'[8]FY14 Projections by grd (PCS)'!M10</f>
        <v>0</v>
      </c>
      <c r="N10" s="264">
        <f>'[8]FY14 Projections by grd (PCS)'!N10</f>
        <v>0</v>
      </c>
      <c r="O10" s="264">
        <f>'[8]FY14 Projections by grd (PCS)'!O10</f>
        <v>0</v>
      </c>
      <c r="P10" s="264">
        <f>'[8]FY14 Projections by grd (PCS)'!P10</f>
        <v>0</v>
      </c>
      <c r="Q10" s="264">
        <f>'[8]FY14 Projections by grd (PCS)'!Q10</f>
        <v>0</v>
      </c>
      <c r="R10" s="264">
        <f>'[8]FY14 Projections by grd (PCS)'!R10</f>
        <v>0</v>
      </c>
      <c r="S10" s="264">
        <f>'[8]FY14 Projections by grd (PCS)'!S10</f>
        <v>0</v>
      </c>
      <c r="T10" s="264">
        <f>'[8]FY14 Projections by grd (PCS)'!T10</f>
        <v>0</v>
      </c>
      <c r="U10" s="262">
        <f t="shared" si="1"/>
        <v>640</v>
      </c>
      <c r="W10" s="264">
        <v>1000</v>
      </c>
      <c r="Y10" s="264" t="str">
        <f t="shared" si="0"/>
        <v>Enrollment ceiling increase not required</v>
      </c>
    </row>
    <row r="11" spans="1:28">
      <c r="A11" s="264" t="s">
        <v>472</v>
      </c>
      <c r="B11" s="264">
        <f>'[8]FY14 Projections by grd (PCS)'!B11</f>
        <v>0</v>
      </c>
      <c r="C11" s="264">
        <f>'[8]FY14 Projections by grd (PCS)'!C11</f>
        <v>0</v>
      </c>
      <c r="D11" s="264">
        <f>'[8]FY14 Projections by grd (PCS)'!D11</f>
        <v>0</v>
      </c>
      <c r="E11" s="264">
        <f>'[8]FY14 Projections by grd (PCS)'!E11</f>
        <v>0</v>
      </c>
      <c r="F11" s="264">
        <f>'[8]FY14 Projections by grd (PCS)'!F11</f>
        <v>0</v>
      </c>
      <c r="G11" s="264">
        <f>'[8]FY14 Projections by grd (PCS)'!G11</f>
        <v>0</v>
      </c>
      <c r="H11" s="264">
        <f>'[8]FY14 Projections by grd (PCS)'!H11</f>
        <v>0</v>
      </c>
      <c r="I11" s="264">
        <f>'[8]FY14 Projections by grd (PCS)'!I11</f>
        <v>155</v>
      </c>
      <c r="J11" s="264">
        <f>'[8]FY14 Projections by grd (PCS)'!J11</f>
        <v>150</v>
      </c>
      <c r="K11" s="264">
        <f>'[8]FY14 Projections by grd (PCS)'!K11</f>
        <v>145</v>
      </c>
      <c r="L11" s="264">
        <f>'[8]FY14 Projections by grd (PCS)'!L11</f>
        <v>70</v>
      </c>
      <c r="M11" s="266">
        <f>'[8]FY14 Projections by grd (PCS)'!M11</f>
        <v>30</v>
      </c>
      <c r="N11" s="264">
        <f>'[8]FY14 Projections by grd (PCS)'!N11</f>
        <v>0</v>
      </c>
      <c r="O11" s="264">
        <f>'[8]FY14 Projections by grd (PCS)'!O11</f>
        <v>0</v>
      </c>
      <c r="P11" s="264">
        <f>'[8]FY14 Projections by grd (PCS)'!P11</f>
        <v>0</v>
      </c>
      <c r="Q11" s="264">
        <f>'[8]FY14 Projections by grd (PCS)'!Q11</f>
        <v>0</v>
      </c>
      <c r="R11" s="264">
        <f>'[8]FY14 Projections by grd (PCS)'!R11</f>
        <v>0</v>
      </c>
      <c r="S11" s="264">
        <f>'[8]FY14 Projections by grd (PCS)'!S11</f>
        <v>0</v>
      </c>
      <c r="T11" s="264">
        <f>'[8]FY14 Projections by grd (PCS)'!T11</f>
        <v>0</v>
      </c>
      <c r="U11" s="262">
        <f t="shared" si="1"/>
        <v>550</v>
      </c>
      <c r="W11" s="267">
        <v>511</v>
      </c>
      <c r="Y11" s="264" t="str">
        <f t="shared" si="0"/>
        <v>Enrollment ceiling increase required</v>
      </c>
      <c r="AB11" s="264" t="s">
        <v>608</v>
      </c>
    </row>
    <row r="12" spans="1:28">
      <c r="A12" s="264" t="s">
        <v>228</v>
      </c>
      <c r="B12" s="264">
        <f>'[8]FY14 Projections by grd (PCS)'!B12</f>
        <v>0</v>
      </c>
      <c r="C12" s="264">
        <f>'[8]FY14 Projections by grd (PCS)'!C12</f>
        <v>0</v>
      </c>
      <c r="D12" s="264">
        <f>'[8]FY14 Projections by grd (PCS)'!D12</f>
        <v>0</v>
      </c>
      <c r="E12" s="264">
        <f>'[8]FY14 Projections by grd (PCS)'!E12</f>
        <v>0</v>
      </c>
      <c r="F12" s="264">
        <f>'[8]FY14 Projections by grd (PCS)'!F12</f>
        <v>0</v>
      </c>
      <c r="G12" s="264">
        <f>'[8]FY14 Projections by grd (PCS)'!G12</f>
        <v>0</v>
      </c>
      <c r="H12" s="264">
        <f>'[8]FY14 Projections by grd (PCS)'!H12</f>
        <v>0</v>
      </c>
      <c r="I12" s="264">
        <f>'[8]FY14 Projections by grd (PCS)'!I12</f>
        <v>0</v>
      </c>
      <c r="J12" s="264">
        <f>'[8]FY14 Projections by grd (PCS)'!J12</f>
        <v>0</v>
      </c>
      <c r="K12" s="264">
        <f>'[8]FY14 Projections by grd (PCS)'!K12</f>
        <v>0</v>
      </c>
      <c r="L12" s="264">
        <f>'[8]FY14 Projections by grd (PCS)'!L12</f>
        <v>0</v>
      </c>
      <c r="M12" s="264">
        <f>'[8]FY14 Projections by grd (PCS)'!M12</f>
        <v>55</v>
      </c>
      <c r="N12" s="264">
        <f>'[8]FY14 Projections by grd (PCS)'!N12</f>
        <v>55</v>
      </c>
      <c r="O12" s="264">
        <f>'[8]FY14 Projections by grd (PCS)'!O12</f>
        <v>55</v>
      </c>
      <c r="P12" s="264">
        <f>'[8]FY14 Projections by grd (PCS)'!P12</f>
        <v>55</v>
      </c>
      <c r="Q12" s="264">
        <f>'[8]FY14 Projections by grd (PCS)'!Q12</f>
        <v>0</v>
      </c>
      <c r="R12" s="264">
        <f>'[8]FY14 Projections by grd (PCS)'!R12</f>
        <v>0</v>
      </c>
      <c r="S12" s="264">
        <f>'[8]FY14 Projections by grd (PCS)'!S12</f>
        <v>175</v>
      </c>
      <c r="T12" s="264">
        <f>'[8]FY14 Projections by grd (PCS)'!T12</f>
        <v>0</v>
      </c>
      <c r="U12" s="262">
        <f t="shared" si="1"/>
        <v>395</v>
      </c>
      <c r="W12" s="264">
        <f>220+175</f>
        <v>395</v>
      </c>
      <c r="Y12" s="264" t="str">
        <f t="shared" si="0"/>
        <v>Enrollment ceiling increase not required</v>
      </c>
    </row>
    <row r="13" spans="1:28">
      <c r="A13" s="264" t="s">
        <v>230</v>
      </c>
      <c r="B13" s="264">
        <f>'[8]FY14 Projections by grd (PCS)'!B13</f>
        <v>48</v>
      </c>
      <c r="C13" s="264">
        <f>'[8]FY14 Projections by grd (PCS)'!C13</f>
        <v>64</v>
      </c>
      <c r="D13" s="264">
        <f>'[8]FY14 Projections by grd (PCS)'!D13</f>
        <v>52</v>
      </c>
      <c r="E13" s="266">
        <f>'[8]FY14 Projections by grd (PCS)'!E13</f>
        <v>52</v>
      </c>
      <c r="F13" s="264">
        <f>'[8]FY14 Projections by grd (PCS)'!F13</f>
        <v>0</v>
      </c>
      <c r="G13" s="264">
        <f>'[8]FY14 Projections by grd (PCS)'!G13</f>
        <v>0</v>
      </c>
      <c r="H13" s="264">
        <f>'[8]FY14 Projections by grd (PCS)'!H13</f>
        <v>0</v>
      </c>
      <c r="I13" s="264">
        <f>'[8]FY14 Projections by grd (PCS)'!I13</f>
        <v>0</v>
      </c>
      <c r="J13" s="264">
        <f>'[8]FY14 Projections by grd (PCS)'!J13</f>
        <v>0</v>
      </c>
      <c r="K13" s="264">
        <f>'[8]FY14 Projections by grd (PCS)'!K13</f>
        <v>0</v>
      </c>
      <c r="L13" s="264">
        <f>'[8]FY14 Projections by grd (PCS)'!L13</f>
        <v>0</v>
      </c>
      <c r="M13" s="264">
        <f>'[8]FY14 Projections by grd (PCS)'!M13</f>
        <v>0</v>
      </c>
      <c r="N13" s="264">
        <f>'[8]FY14 Projections by grd (PCS)'!N13</f>
        <v>0</v>
      </c>
      <c r="O13" s="264">
        <f>'[8]FY14 Projections by grd (PCS)'!O13</f>
        <v>0</v>
      </c>
      <c r="P13" s="264">
        <f>'[8]FY14 Projections by grd (PCS)'!P13</f>
        <v>0</v>
      </c>
      <c r="Q13" s="264">
        <f>'[8]FY14 Projections by grd (PCS)'!Q13</f>
        <v>0</v>
      </c>
      <c r="R13" s="264">
        <f>'[8]FY14 Projections by grd (PCS)'!R13</f>
        <v>0</v>
      </c>
      <c r="S13" s="264">
        <f>'[8]FY14 Projections by grd (PCS)'!S13</f>
        <v>0</v>
      </c>
      <c r="T13" s="264">
        <f>'[8]FY14 Projections by grd (PCS)'!T13</f>
        <v>0</v>
      </c>
      <c r="U13" s="262">
        <f t="shared" si="1"/>
        <v>216</v>
      </c>
      <c r="W13" s="264">
        <v>464</v>
      </c>
      <c r="Y13" s="264" t="str">
        <f t="shared" si="0"/>
        <v>Enrollment ceiling increase not required</v>
      </c>
    </row>
    <row r="14" spans="1:28">
      <c r="A14" s="264" t="s">
        <v>232</v>
      </c>
      <c r="B14" s="264">
        <f>'[8]FY14 Projections by grd (PCS)'!B14</f>
        <v>32</v>
      </c>
      <c r="C14" s="264">
        <f>'[8]FY14 Projections by grd (PCS)'!C14</f>
        <v>40</v>
      </c>
      <c r="D14" s="264">
        <f>'[8]FY14 Projections by grd (PCS)'!D14</f>
        <v>48</v>
      </c>
      <c r="E14" s="264">
        <f>'[8]FY14 Projections by grd (PCS)'!E14</f>
        <v>50</v>
      </c>
      <c r="F14" s="264">
        <f>'[8]FY14 Projections by grd (PCS)'!F14</f>
        <v>50</v>
      </c>
      <c r="G14" s="264">
        <f>'[8]FY14 Projections by grd (PCS)'!G14</f>
        <v>50</v>
      </c>
      <c r="H14" s="264">
        <f>'[8]FY14 Projections by grd (PCS)'!H14</f>
        <v>50</v>
      </c>
      <c r="I14" s="264">
        <f>'[8]FY14 Projections by grd (PCS)'!I14</f>
        <v>0</v>
      </c>
      <c r="J14" s="264">
        <f>'[8]FY14 Projections by grd (PCS)'!J14</f>
        <v>0</v>
      </c>
      <c r="K14" s="264">
        <f>'[8]FY14 Projections by grd (PCS)'!K14</f>
        <v>0</v>
      </c>
      <c r="L14" s="264">
        <f>'[8]FY14 Projections by grd (PCS)'!L14</f>
        <v>0</v>
      </c>
      <c r="M14" s="264">
        <f>'[8]FY14 Projections by grd (PCS)'!M14</f>
        <v>0</v>
      </c>
      <c r="N14" s="264">
        <f>'[8]FY14 Projections by grd (PCS)'!N14</f>
        <v>0</v>
      </c>
      <c r="O14" s="264">
        <f>'[8]FY14 Projections by grd (PCS)'!O14</f>
        <v>0</v>
      </c>
      <c r="P14" s="264">
        <f>'[8]FY14 Projections by grd (PCS)'!P14</f>
        <v>0</v>
      </c>
      <c r="Q14" s="264">
        <f>'[8]FY14 Projections by grd (PCS)'!Q14</f>
        <v>0</v>
      </c>
      <c r="R14" s="264">
        <f>'[8]FY14 Projections by grd (PCS)'!R14</f>
        <v>0</v>
      </c>
      <c r="S14" s="264">
        <f>'[8]FY14 Projections by grd (PCS)'!S14</f>
        <v>0</v>
      </c>
      <c r="T14" s="264">
        <f>'[8]FY14 Projections by grd (PCS)'!T14</f>
        <v>0</v>
      </c>
      <c r="U14" s="262">
        <f>SUM(B14:T14)+U15+U16</f>
        <v>960</v>
      </c>
      <c r="W14" s="264">
        <v>1000</v>
      </c>
      <c r="Y14" s="264" t="str">
        <f t="shared" si="0"/>
        <v>Enrollment ceiling increase not required</v>
      </c>
    </row>
    <row r="15" spans="1:28" hidden="1">
      <c r="A15" s="264" t="s">
        <v>476</v>
      </c>
      <c r="B15" s="264">
        <f>'[8]FY14 Projections by grd (PCS)'!B15</f>
        <v>0</v>
      </c>
      <c r="C15" s="264">
        <f>'[8]FY14 Projections by grd (PCS)'!C15</f>
        <v>0</v>
      </c>
      <c r="D15" s="264">
        <f>'[8]FY14 Projections by grd (PCS)'!D15</f>
        <v>0</v>
      </c>
      <c r="E15" s="264">
        <f>'[8]FY14 Projections by grd (PCS)'!E15</f>
        <v>0</v>
      </c>
      <c r="F15" s="264">
        <f>'[8]FY14 Projections by grd (PCS)'!F15</f>
        <v>0</v>
      </c>
      <c r="G15" s="264">
        <f>'[8]FY14 Projections by grd (PCS)'!G15</f>
        <v>0</v>
      </c>
      <c r="H15" s="264">
        <f>'[8]FY14 Projections by grd (PCS)'!H15</f>
        <v>0</v>
      </c>
      <c r="I15" s="264">
        <f>'[8]FY14 Projections by grd (PCS)'!I15</f>
        <v>80</v>
      </c>
      <c r="J15" s="264">
        <f>'[8]FY14 Projections by grd (PCS)'!J15</f>
        <v>80</v>
      </c>
      <c r="K15" s="264">
        <f>'[8]FY14 Projections by grd (PCS)'!K15</f>
        <v>80</v>
      </c>
      <c r="L15" s="264">
        <f>'[8]FY14 Projections by grd (PCS)'!L15</f>
        <v>80</v>
      </c>
      <c r="M15" s="264">
        <f>'[8]FY14 Projections by grd (PCS)'!M15</f>
        <v>0</v>
      </c>
      <c r="N15" s="264">
        <f>'[8]FY14 Projections by grd (PCS)'!N15</f>
        <v>0</v>
      </c>
      <c r="O15" s="264">
        <f>'[8]FY14 Projections by grd (PCS)'!O15</f>
        <v>0</v>
      </c>
      <c r="P15" s="264">
        <f>'[8]FY14 Projections by grd (PCS)'!P15</f>
        <v>0</v>
      </c>
      <c r="Q15" s="264">
        <f>'[8]FY14 Projections by grd (PCS)'!Q15</f>
        <v>0</v>
      </c>
      <c r="R15" s="264">
        <f>'[8]FY14 Projections by grd (PCS)'!R15</f>
        <v>0</v>
      </c>
      <c r="S15" s="264">
        <f>'[8]FY14 Projections by grd (PCS)'!S15</f>
        <v>0</v>
      </c>
      <c r="T15" s="264">
        <f>'[8]FY14 Projections by grd (PCS)'!T15</f>
        <v>0</v>
      </c>
      <c r="U15" s="262">
        <f t="shared" si="1"/>
        <v>320</v>
      </c>
      <c r="W15" s="264"/>
      <c r="Y15" s="264" t="str">
        <f t="shared" si="0"/>
        <v>Enrollment ceiling increase required</v>
      </c>
    </row>
    <row r="16" spans="1:28" hidden="1">
      <c r="A16" s="264" t="s">
        <v>477</v>
      </c>
      <c r="B16" s="264">
        <f>'[8]FY14 Projections by grd (PCS)'!B16</f>
        <v>0</v>
      </c>
      <c r="C16" s="264">
        <f>'[8]FY14 Projections by grd (PCS)'!C16</f>
        <v>0</v>
      </c>
      <c r="D16" s="264">
        <f>'[8]FY14 Projections by grd (PCS)'!D16</f>
        <v>0</v>
      </c>
      <c r="E16" s="264">
        <f>'[8]FY14 Projections by grd (PCS)'!E16</f>
        <v>0</v>
      </c>
      <c r="F16" s="264">
        <f>'[8]FY14 Projections by grd (PCS)'!F16</f>
        <v>0</v>
      </c>
      <c r="G16" s="264">
        <f>'[8]FY14 Projections by grd (PCS)'!G16</f>
        <v>0</v>
      </c>
      <c r="H16" s="264">
        <f>'[8]FY14 Projections by grd (PCS)'!H16</f>
        <v>0</v>
      </c>
      <c r="I16" s="264">
        <f>'[8]FY14 Projections by grd (PCS)'!I16</f>
        <v>0</v>
      </c>
      <c r="J16" s="264">
        <f>'[8]FY14 Projections by grd (PCS)'!J16</f>
        <v>0</v>
      </c>
      <c r="K16" s="264">
        <f>'[8]FY14 Projections by grd (PCS)'!K16</f>
        <v>0</v>
      </c>
      <c r="L16" s="264">
        <f>'[8]FY14 Projections by grd (PCS)'!L16</f>
        <v>0</v>
      </c>
      <c r="M16" s="264">
        <f>'[8]FY14 Projections by grd (PCS)'!M16</f>
        <v>90</v>
      </c>
      <c r="N16" s="264">
        <f>'[8]FY14 Projections by grd (PCS)'!N16</f>
        <v>90</v>
      </c>
      <c r="O16" s="264">
        <f>'[8]FY14 Projections by grd (PCS)'!O16</f>
        <v>75</v>
      </c>
      <c r="P16" s="264">
        <f>'[8]FY14 Projections by grd (PCS)'!P16</f>
        <v>65</v>
      </c>
      <c r="Q16" s="264">
        <f>'[8]FY14 Projections by grd (PCS)'!Q16</f>
        <v>0</v>
      </c>
      <c r="R16" s="264">
        <f>'[8]FY14 Projections by grd (PCS)'!R16</f>
        <v>0</v>
      </c>
      <c r="S16" s="264">
        <f>'[8]FY14 Projections by grd (PCS)'!S16</f>
        <v>0</v>
      </c>
      <c r="T16" s="264">
        <f>'[8]FY14 Projections by grd (PCS)'!T16</f>
        <v>0</v>
      </c>
      <c r="U16" s="262">
        <f t="shared" si="1"/>
        <v>320</v>
      </c>
      <c r="W16" s="264"/>
      <c r="Y16" s="264" t="str">
        <f t="shared" si="0"/>
        <v>Enrollment ceiling increase required</v>
      </c>
    </row>
    <row r="17" spans="1:25">
      <c r="A17" s="264" t="s">
        <v>235</v>
      </c>
      <c r="B17" s="264">
        <f>'[8]FY14 Projections by grd (PCS)'!B17</f>
        <v>0</v>
      </c>
      <c r="C17" s="264">
        <f>'[8]FY14 Projections by grd (PCS)'!C17</f>
        <v>0</v>
      </c>
      <c r="D17" s="264">
        <f>'[8]FY14 Projections by grd (PCS)'!D17</f>
        <v>0</v>
      </c>
      <c r="E17" s="264">
        <f>'[8]FY14 Projections by grd (PCS)'!E17</f>
        <v>0</v>
      </c>
      <c r="F17" s="264">
        <f>'[8]FY14 Projections by grd (PCS)'!F17</f>
        <v>0</v>
      </c>
      <c r="G17" s="264">
        <f>'[8]FY14 Projections by grd (PCS)'!G17</f>
        <v>0</v>
      </c>
      <c r="H17" s="264">
        <f>'[8]FY14 Projections by grd (PCS)'!H17</f>
        <v>0</v>
      </c>
      <c r="I17" s="264">
        <f>'[8]FY14 Projections by grd (PCS)'!I17</f>
        <v>0</v>
      </c>
      <c r="J17" s="264">
        <f>'[8]FY14 Projections by grd (PCS)'!J17</f>
        <v>0</v>
      </c>
      <c r="K17" s="264">
        <f>'[8]FY14 Projections by grd (PCS)'!K17</f>
        <v>0</v>
      </c>
      <c r="L17" s="264">
        <f>'[8]FY14 Projections by grd (PCS)'!L17</f>
        <v>0</v>
      </c>
      <c r="M17" s="264">
        <f>'[8]FY14 Projections by grd (PCS)'!M17</f>
        <v>0</v>
      </c>
      <c r="N17" s="264">
        <f>'[8]FY14 Projections by grd (PCS)'!N17</f>
        <v>0</v>
      </c>
      <c r="O17" s="264">
        <f>'[8]FY14 Projections by grd (PCS)'!O17</f>
        <v>0</v>
      </c>
      <c r="P17" s="264">
        <f>'[8]FY14 Projections by grd (PCS)'!P17</f>
        <v>0</v>
      </c>
      <c r="Q17" s="264">
        <f>'[8]FY14 Projections by grd (PCS)'!Q17</f>
        <v>0</v>
      </c>
      <c r="R17" s="264">
        <f>'[8]FY14 Projections by grd (PCS)'!R17</f>
        <v>0</v>
      </c>
      <c r="S17" s="264">
        <f>'[8]FY14 Projections by grd (PCS)'!S17</f>
        <v>1700</v>
      </c>
      <c r="T17" s="264">
        <f>'[8]FY14 Projections by grd (PCS)'!T17</f>
        <v>0</v>
      </c>
      <c r="U17" s="262">
        <f>SUM(B17:T17)+U18</f>
        <v>1950</v>
      </c>
      <c r="W17" s="264">
        <v>1950</v>
      </c>
      <c r="Y17" s="264" t="str">
        <f t="shared" si="0"/>
        <v>Enrollment ceiling increase not required</v>
      </c>
    </row>
    <row r="18" spans="1:25" hidden="1">
      <c r="A18" s="265" t="s">
        <v>479</v>
      </c>
      <c r="B18" s="264">
        <f>'[8]FY14 Projections by grd (PCS)'!B18</f>
        <v>0</v>
      </c>
      <c r="C18" s="264">
        <f>'[8]FY14 Projections by grd (PCS)'!C18</f>
        <v>0</v>
      </c>
      <c r="D18" s="264">
        <f>'[8]FY14 Projections by grd (PCS)'!D18</f>
        <v>0</v>
      </c>
      <c r="E18" s="264">
        <f>'[8]FY14 Projections by grd (PCS)'!E18</f>
        <v>0</v>
      </c>
      <c r="F18" s="264">
        <f>'[8]FY14 Projections by grd (PCS)'!F18</f>
        <v>0</v>
      </c>
      <c r="G18" s="264">
        <f>'[8]FY14 Projections by grd (PCS)'!G18</f>
        <v>0</v>
      </c>
      <c r="H18" s="264">
        <f>'[8]FY14 Projections by grd (PCS)'!H18</f>
        <v>0</v>
      </c>
      <c r="I18" s="264">
        <f>'[8]FY14 Projections by grd (PCS)'!I18</f>
        <v>0</v>
      </c>
      <c r="J18" s="264">
        <f>'[8]FY14 Projections by grd (PCS)'!J18</f>
        <v>0</v>
      </c>
      <c r="K18" s="264">
        <f>'[8]FY14 Projections by grd (PCS)'!K18</f>
        <v>0</v>
      </c>
      <c r="L18" s="264">
        <f>'[8]FY14 Projections by grd (PCS)'!L18</f>
        <v>0</v>
      </c>
      <c r="M18" s="264">
        <f>'[8]FY14 Projections by grd (PCS)'!M18</f>
        <v>0</v>
      </c>
      <c r="N18" s="264">
        <f>'[8]FY14 Projections by grd (PCS)'!N18</f>
        <v>0</v>
      </c>
      <c r="O18" s="264">
        <f>'[8]FY14 Projections by grd (PCS)'!O18</f>
        <v>0</v>
      </c>
      <c r="P18" s="264">
        <f>'[8]FY14 Projections by grd (PCS)'!P18</f>
        <v>0</v>
      </c>
      <c r="Q18" s="264">
        <f>'[8]FY14 Projections by grd (PCS)'!Q18</f>
        <v>0</v>
      </c>
      <c r="R18" s="264">
        <f>'[8]FY14 Projections by grd (PCS)'!R18</f>
        <v>0</v>
      </c>
      <c r="S18" s="266">
        <f>'[8]FY14 Projections by grd (PCS)'!S18</f>
        <v>250</v>
      </c>
      <c r="T18" s="264">
        <f>'[8]FY14 Projections by grd (PCS)'!T18</f>
        <v>0</v>
      </c>
      <c r="U18" s="262">
        <f t="shared" si="1"/>
        <v>250</v>
      </c>
      <c r="W18" s="264"/>
      <c r="Y18" s="264" t="str">
        <f t="shared" si="0"/>
        <v>Enrollment ceiling increase required</v>
      </c>
    </row>
    <row r="19" spans="1:25">
      <c r="A19" s="264" t="s">
        <v>593</v>
      </c>
      <c r="B19" s="264">
        <f>'[8]FY14 Projections by grd (PCS)'!B19</f>
        <v>0</v>
      </c>
      <c r="C19" s="264">
        <f>'[8]FY14 Projections by grd (PCS)'!C19</f>
        <v>20</v>
      </c>
      <c r="D19" s="264">
        <f>'[8]FY14 Projections by grd (PCS)'!D19</f>
        <v>23</v>
      </c>
      <c r="E19" s="264">
        <f>'[8]FY14 Projections by grd (PCS)'!E19</f>
        <v>23</v>
      </c>
      <c r="F19" s="264">
        <f>'[8]FY14 Projections by grd (PCS)'!F19</f>
        <v>25</v>
      </c>
      <c r="G19" s="264">
        <f>'[8]FY14 Projections by grd (PCS)'!G19</f>
        <v>25</v>
      </c>
      <c r="H19" s="264">
        <f>'[8]FY14 Projections by grd (PCS)'!H19</f>
        <v>25</v>
      </c>
      <c r="I19" s="264">
        <f>'[8]FY14 Projections by grd (PCS)'!I19</f>
        <v>25</v>
      </c>
      <c r="J19" s="264">
        <f>'[8]FY14 Projections by grd (PCS)'!J19</f>
        <v>25</v>
      </c>
      <c r="K19" s="264">
        <f>'[8]FY14 Projections by grd (PCS)'!K19</f>
        <v>22</v>
      </c>
      <c r="L19" s="264">
        <f>'[8]FY14 Projections by grd (PCS)'!L19</f>
        <v>20</v>
      </c>
      <c r="M19" s="264">
        <f>'[8]FY14 Projections by grd (PCS)'!M19</f>
        <v>0</v>
      </c>
      <c r="N19" s="264">
        <f>'[8]FY14 Projections by grd (PCS)'!N19</f>
        <v>0</v>
      </c>
      <c r="O19" s="264">
        <f>'[8]FY14 Projections by grd (PCS)'!O19</f>
        <v>0</v>
      </c>
      <c r="P19" s="264">
        <f>'[8]FY14 Projections by grd (PCS)'!P19</f>
        <v>0</v>
      </c>
      <c r="Q19" s="264">
        <f>'[8]FY14 Projections by grd (PCS)'!Q19</f>
        <v>0</v>
      </c>
      <c r="R19" s="264">
        <f>'[8]FY14 Projections by grd (PCS)'!R19</f>
        <v>0</v>
      </c>
      <c r="S19" s="264">
        <f>'[8]FY14 Projections by grd (PCS)'!S19</f>
        <v>0</v>
      </c>
      <c r="T19" s="264">
        <f>'[8]FY14 Projections by grd (PCS)'!T19</f>
        <v>0</v>
      </c>
      <c r="U19" s="262">
        <f>SUM(B19:T19)+SUM(U20:U24)</f>
        <v>1398</v>
      </c>
      <c r="W19" s="264">
        <v>1785</v>
      </c>
      <c r="Y19" s="264" t="str">
        <f t="shared" si="0"/>
        <v>Enrollment ceiling increase not required</v>
      </c>
    </row>
    <row r="20" spans="1:25" hidden="1">
      <c r="A20" s="264" t="s">
        <v>482</v>
      </c>
      <c r="B20" s="264">
        <f>'[8]FY14 Projections by grd (PCS)'!B20</f>
        <v>0</v>
      </c>
      <c r="C20" s="264">
        <f>'[8]FY14 Projections by grd (PCS)'!C20</f>
        <v>20</v>
      </c>
      <c r="D20" s="264">
        <f>'[8]FY14 Projections by grd (PCS)'!D20</f>
        <v>23</v>
      </c>
      <c r="E20" s="264">
        <f>'[8]FY14 Projections by grd (PCS)'!E20</f>
        <v>23</v>
      </c>
      <c r="F20" s="264">
        <f>'[8]FY14 Projections by grd (PCS)'!F20</f>
        <v>25</v>
      </c>
      <c r="G20" s="264">
        <f>'[8]FY14 Projections by grd (PCS)'!G20</f>
        <v>25</v>
      </c>
      <c r="H20" s="264">
        <f>'[8]FY14 Projections by grd (PCS)'!H20</f>
        <v>25</v>
      </c>
      <c r="I20" s="264">
        <f>'[8]FY14 Projections by grd (PCS)'!I20</f>
        <v>25</v>
      </c>
      <c r="J20" s="264">
        <f>'[8]FY14 Projections by grd (PCS)'!J20</f>
        <v>25</v>
      </c>
      <c r="K20" s="264">
        <f>'[8]FY14 Projections by grd (PCS)'!K20</f>
        <v>22</v>
      </c>
      <c r="L20" s="264">
        <f>'[8]FY14 Projections by grd (PCS)'!L20</f>
        <v>20</v>
      </c>
      <c r="M20" s="264">
        <f>'[8]FY14 Projections by grd (PCS)'!M20</f>
        <v>0</v>
      </c>
      <c r="N20" s="264">
        <f>'[8]FY14 Projections by grd (PCS)'!N20</f>
        <v>0</v>
      </c>
      <c r="O20" s="264">
        <f>'[8]FY14 Projections by grd (PCS)'!O20</f>
        <v>0</v>
      </c>
      <c r="P20" s="264">
        <f>'[8]FY14 Projections by grd (PCS)'!P20</f>
        <v>0</v>
      </c>
      <c r="Q20" s="264">
        <f>'[8]FY14 Projections by grd (PCS)'!Q20</f>
        <v>0</v>
      </c>
      <c r="R20" s="264">
        <f>'[8]FY14 Projections by grd (PCS)'!R20</f>
        <v>0</v>
      </c>
      <c r="S20" s="264">
        <f>'[8]FY14 Projections by grd (PCS)'!S20</f>
        <v>0</v>
      </c>
      <c r="T20" s="264">
        <f>'[8]FY14 Projections by grd (PCS)'!T20</f>
        <v>0</v>
      </c>
      <c r="U20" s="262">
        <f t="shared" si="1"/>
        <v>233</v>
      </c>
      <c r="W20" s="264"/>
      <c r="Y20" s="264" t="str">
        <f t="shared" si="0"/>
        <v>Enrollment ceiling increase required</v>
      </c>
    </row>
    <row r="21" spans="1:25" hidden="1">
      <c r="A21" s="264" t="s">
        <v>483</v>
      </c>
      <c r="B21" s="264">
        <f>'[8]FY14 Projections by grd (PCS)'!B21</f>
        <v>0</v>
      </c>
      <c r="C21" s="264">
        <f>'[8]FY14 Projections by grd (PCS)'!C21</f>
        <v>20</v>
      </c>
      <c r="D21" s="264">
        <f>'[8]FY14 Projections by grd (PCS)'!D21</f>
        <v>23</v>
      </c>
      <c r="E21" s="264">
        <f>'[8]FY14 Projections by grd (PCS)'!E21</f>
        <v>23</v>
      </c>
      <c r="F21" s="264">
        <f>'[8]FY14 Projections by grd (PCS)'!F21</f>
        <v>25</v>
      </c>
      <c r="G21" s="264">
        <f>'[8]FY14 Projections by grd (PCS)'!G21</f>
        <v>25</v>
      </c>
      <c r="H21" s="264">
        <f>'[8]FY14 Projections by grd (PCS)'!H21</f>
        <v>25</v>
      </c>
      <c r="I21" s="264">
        <f>'[8]FY14 Projections by grd (PCS)'!I21</f>
        <v>25</v>
      </c>
      <c r="J21" s="264">
        <f>'[8]FY14 Projections by grd (PCS)'!J21</f>
        <v>25</v>
      </c>
      <c r="K21" s="264">
        <f>'[8]FY14 Projections by grd (PCS)'!K21</f>
        <v>22</v>
      </c>
      <c r="L21" s="264">
        <f>'[8]FY14 Projections by grd (PCS)'!L21</f>
        <v>20</v>
      </c>
      <c r="M21" s="264">
        <f>'[8]FY14 Projections by grd (PCS)'!M21</f>
        <v>0</v>
      </c>
      <c r="N21" s="264">
        <f>'[8]FY14 Projections by grd (PCS)'!N21</f>
        <v>0</v>
      </c>
      <c r="O21" s="264">
        <f>'[8]FY14 Projections by grd (PCS)'!O21</f>
        <v>0</v>
      </c>
      <c r="P21" s="264">
        <f>'[8]FY14 Projections by grd (PCS)'!P21</f>
        <v>0</v>
      </c>
      <c r="Q21" s="264">
        <f>'[8]FY14 Projections by grd (PCS)'!Q21</f>
        <v>0</v>
      </c>
      <c r="R21" s="264">
        <f>'[8]FY14 Projections by grd (PCS)'!R21</f>
        <v>0</v>
      </c>
      <c r="S21" s="264">
        <f>'[8]FY14 Projections by grd (PCS)'!S21</f>
        <v>0</v>
      </c>
      <c r="T21" s="264">
        <f>'[8]FY14 Projections by grd (PCS)'!T21</f>
        <v>0</v>
      </c>
      <c r="U21" s="262">
        <f t="shared" si="1"/>
        <v>233</v>
      </c>
      <c r="W21" s="264"/>
      <c r="Y21" s="264" t="str">
        <f t="shared" si="0"/>
        <v>Enrollment ceiling increase required</v>
      </c>
    </row>
    <row r="22" spans="1:25" hidden="1">
      <c r="A22" s="264" t="s">
        <v>484</v>
      </c>
      <c r="B22" s="264">
        <f>'[8]FY14 Projections by grd (PCS)'!B22</f>
        <v>0</v>
      </c>
      <c r="C22" s="264">
        <f>'[8]FY14 Projections by grd (PCS)'!C22</f>
        <v>20</v>
      </c>
      <c r="D22" s="264">
        <f>'[8]FY14 Projections by grd (PCS)'!D22</f>
        <v>23</v>
      </c>
      <c r="E22" s="264">
        <f>'[8]FY14 Projections by grd (PCS)'!E22</f>
        <v>23</v>
      </c>
      <c r="F22" s="264">
        <f>'[8]FY14 Projections by grd (PCS)'!F22</f>
        <v>25</v>
      </c>
      <c r="G22" s="264">
        <f>'[8]FY14 Projections by grd (PCS)'!G22</f>
        <v>25</v>
      </c>
      <c r="H22" s="264">
        <f>'[8]FY14 Projections by grd (PCS)'!H22</f>
        <v>25</v>
      </c>
      <c r="I22" s="264">
        <f>'[8]FY14 Projections by grd (PCS)'!I22</f>
        <v>25</v>
      </c>
      <c r="J22" s="264">
        <f>'[8]FY14 Projections by grd (PCS)'!J22</f>
        <v>25</v>
      </c>
      <c r="K22" s="264">
        <f>'[8]FY14 Projections by grd (PCS)'!K22</f>
        <v>22</v>
      </c>
      <c r="L22" s="264">
        <f>'[8]FY14 Projections by grd (PCS)'!L22</f>
        <v>20</v>
      </c>
      <c r="M22" s="264">
        <f>'[8]FY14 Projections by grd (PCS)'!M22</f>
        <v>0</v>
      </c>
      <c r="N22" s="264">
        <f>'[8]FY14 Projections by grd (PCS)'!N22</f>
        <v>0</v>
      </c>
      <c r="O22" s="264">
        <f>'[8]FY14 Projections by grd (PCS)'!O22</f>
        <v>0</v>
      </c>
      <c r="P22" s="264">
        <f>'[8]FY14 Projections by grd (PCS)'!P22</f>
        <v>0</v>
      </c>
      <c r="Q22" s="264">
        <f>'[8]FY14 Projections by grd (PCS)'!Q22</f>
        <v>0</v>
      </c>
      <c r="R22" s="264">
        <f>'[8]FY14 Projections by grd (PCS)'!R22</f>
        <v>0</v>
      </c>
      <c r="S22" s="264">
        <f>'[8]FY14 Projections by grd (PCS)'!S22</f>
        <v>0</v>
      </c>
      <c r="T22" s="264">
        <f>'[8]FY14 Projections by grd (PCS)'!T22</f>
        <v>0</v>
      </c>
      <c r="U22" s="262">
        <f t="shared" si="1"/>
        <v>233</v>
      </c>
      <c r="W22" s="264"/>
      <c r="Y22" s="264" t="str">
        <f t="shared" si="0"/>
        <v>Enrollment ceiling increase required</v>
      </c>
    </row>
    <row r="23" spans="1:25" hidden="1">
      <c r="A23" s="264" t="s">
        <v>485</v>
      </c>
      <c r="B23" s="264">
        <f>'[8]FY14 Projections by grd (PCS)'!B23</f>
        <v>0</v>
      </c>
      <c r="C23" s="264">
        <f>'[8]FY14 Projections by grd (PCS)'!C23</f>
        <v>20</v>
      </c>
      <c r="D23" s="264">
        <f>'[8]FY14 Projections by grd (PCS)'!D23</f>
        <v>23</v>
      </c>
      <c r="E23" s="264">
        <f>'[8]FY14 Projections by grd (PCS)'!E23</f>
        <v>23</v>
      </c>
      <c r="F23" s="264">
        <f>'[8]FY14 Projections by grd (PCS)'!F23</f>
        <v>25</v>
      </c>
      <c r="G23" s="264">
        <f>'[8]FY14 Projections by grd (PCS)'!G23</f>
        <v>25</v>
      </c>
      <c r="H23" s="264">
        <f>'[8]FY14 Projections by grd (PCS)'!H23</f>
        <v>25</v>
      </c>
      <c r="I23" s="264">
        <f>'[8]FY14 Projections by grd (PCS)'!I23</f>
        <v>25</v>
      </c>
      <c r="J23" s="264">
        <f>'[8]FY14 Projections by grd (PCS)'!J23</f>
        <v>25</v>
      </c>
      <c r="K23" s="264">
        <f>'[8]FY14 Projections by grd (PCS)'!K23</f>
        <v>22</v>
      </c>
      <c r="L23" s="264">
        <f>'[8]FY14 Projections by grd (PCS)'!L23</f>
        <v>20</v>
      </c>
      <c r="M23" s="264">
        <f>'[8]FY14 Projections by grd (PCS)'!M23</f>
        <v>0</v>
      </c>
      <c r="N23" s="264">
        <f>'[8]FY14 Projections by grd (PCS)'!N23</f>
        <v>0</v>
      </c>
      <c r="O23" s="264">
        <f>'[8]FY14 Projections by grd (PCS)'!O23</f>
        <v>0</v>
      </c>
      <c r="P23" s="264">
        <f>'[8]FY14 Projections by grd (PCS)'!P23</f>
        <v>0</v>
      </c>
      <c r="Q23" s="264">
        <f>'[8]FY14 Projections by grd (PCS)'!Q23</f>
        <v>0</v>
      </c>
      <c r="R23" s="264">
        <f>'[8]FY14 Projections by grd (PCS)'!R23</f>
        <v>0</v>
      </c>
      <c r="S23" s="264">
        <f>'[8]FY14 Projections by grd (PCS)'!S23</f>
        <v>0</v>
      </c>
      <c r="T23" s="264">
        <f>'[8]FY14 Projections by grd (PCS)'!T23</f>
        <v>0</v>
      </c>
      <c r="U23" s="262">
        <f t="shared" si="1"/>
        <v>233</v>
      </c>
      <c r="W23" s="264"/>
      <c r="Y23" s="264" t="str">
        <f t="shared" si="0"/>
        <v>Enrollment ceiling increase required</v>
      </c>
    </row>
    <row r="24" spans="1:25" hidden="1">
      <c r="A24" s="264" t="s">
        <v>486</v>
      </c>
      <c r="B24" s="264">
        <f>'[8]FY14 Projections by grd (PCS)'!B24</f>
        <v>0</v>
      </c>
      <c r="C24" s="264">
        <f>'[8]FY14 Projections by grd (PCS)'!C24</f>
        <v>20</v>
      </c>
      <c r="D24" s="264">
        <f>'[8]FY14 Projections by grd (PCS)'!D24</f>
        <v>23</v>
      </c>
      <c r="E24" s="264">
        <f>'[8]FY14 Projections by grd (PCS)'!E24</f>
        <v>23</v>
      </c>
      <c r="F24" s="264">
        <f>'[8]FY14 Projections by grd (PCS)'!F24</f>
        <v>25</v>
      </c>
      <c r="G24" s="264">
        <f>'[8]FY14 Projections by grd (PCS)'!G24</f>
        <v>25</v>
      </c>
      <c r="H24" s="264">
        <f>'[8]FY14 Projections by grd (PCS)'!H24</f>
        <v>25</v>
      </c>
      <c r="I24" s="264">
        <f>'[8]FY14 Projections by grd (PCS)'!I24</f>
        <v>25</v>
      </c>
      <c r="J24" s="264">
        <f>'[8]FY14 Projections by grd (PCS)'!J24</f>
        <v>25</v>
      </c>
      <c r="K24" s="264">
        <f>'[8]FY14 Projections by grd (PCS)'!K24</f>
        <v>22</v>
      </c>
      <c r="L24" s="264">
        <f>'[8]FY14 Projections by grd (PCS)'!L24</f>
        <v>20</v>
      </c>
      <c r="M24" s="264">
        <f>'[8]FY14 Projections by grd (PCS)'!M24</f>
        <v>0</v>
      </c>
      <c r="N24" s="264">
        <f>'[8]FY14 Projections by grd (PCS)'!N24</f>
        <v>0</v>
      </c>
      <c r="O24" s="264">
        <f>'[8]FY14 Projections by grd (PCS)'!O24</f>
        <v>0</v>
      </c>
      <c r="P24" s="264">
        <f>'[8]FY14 Projections by grd (PCS)'!P24</f>
        <v>0</v>
      </c>
      <c r="Q24" s="264">
        <f>'[8]FY14 Projections by grd (PCS)'!Q24</f>
        <v>0</v>
      </c>
      <c r="R24" s="264">
        <f>'[8]FY14 Projections by grd (PCS)'!R24</f>
        <v>0</v>
      </c>
      <c r="S24" s="264">
        <f>'[8]FY14 Projections by grd (PCS)'!S24</f>
        <v>0</v>
      </c>
      <c r="T24" s="264">
        <f>'[8]FY14 Projections by grd (PCS)'!T24</f>
        <v>0</v>
      </c>
      <c r="U24" s="262">
        <f t="shared" si="1"/>
        <v>233</v>
      </c>
      <c r="W24" s="264"/>
      <c r="Y24" s="264" t="str">
        <f t="shared" si="0"/>
        <v>Enrollment ceiling increase required</v>
      </c>
    </row>
    <row r="25" spans="1:25">
      <c r="A25" s="264" t="s">
        <v>594</v>
      </c>
      <c r="B25" s="264">
        <f>'[8]FY14 Projections by grd (PCS)'!B25</f>
        <v>0</v>
      </c>
      <c r="C25" s="264">
        <f>'[8]FY14 Projections by grd (PCS)'!C25</f>
        <v>0</v>
      </c>
      <c r="D25" s="264">
        <f>'[8]FY14 Projections by grd (PCS)'!D25</f>
        <v>0</v>
      </c>
      <c r="E25" s="264">
        <f>'[8]FY14 Projections by grd (PCS)'!E25</f>
        <v>0</v>
      </c>
      <c r="F25" s="264">
        <f>'[8]FY14 Projections by grd (PCS)'!F25</f>
        <v>0</v>
      </c>
      <c r="G25" s="264">
        <f>'[8]FY14 Projections by grd (PCS)'!G25</f>
        <v>0</v>
      </c>
      <c r="H25" s="264">
        <f>'[8]FY14 Projections by grd (PCS)'!H25</f>
        <v>0</v>
      </c>
      <c r="I25" s="264">
        <f>'[8]FY14 Projections by grd (PCS)'!I25</f>
        <v>0</v>
      </c>
      <c r="J25" s="264">
        <f>'[8]FY14 Projections by grd (PCS)'!J25</f>
        <v>0</v>
      </c>
      <c r="K25" s="264">
        <f>'[8]FY14 Projections by grd (PCS)'!K25</f>
        <v>0</v>
      </c>
      <c r="L25" s="264">
        <f>'[8]FY14 Projections by grd (PCS)'!L25</f>
        <v>0</v>
      </c>
      <c r="M25" s="264">
        <f>'[8]FY14 Projections by grd (PCS)'!M25</f>
        <v>145</v>
      </c>
      <c r="N25" s="264">
        <f>'[8]FY14 Projections by grd (PCS)'!N25</f>
        <v>110</v>
      </c>
      <c r="O25" s="264">
        <f>'[8]FY14 Projections by grd (PCS)'!O25</f>
        <v>85</v>
      </c>
      <c r="P25" s="264">
        <f>'[8]FY14 Projections by grd (PCS)'!P25</f>
        <v>70</v>
      </c>
      <c r="Q25" s="264">
        <f>'[8]FY14 Projections by grd (PCS)'!Q25</f>
        <v>0</v>
      </c>
      <c r="R25" s="264">
        <f>'[8]FY14 Projections by grd (PCS)'!R25</f>
        <v>0</v>
      </c>
      <c r="S25" s="264">
        <f>'[8]FY14 Projections by grd (PCS)'!S25</f>
        <v>0</v>
      </c>
      <c r="T25" s="264">
        <f>'[8]FY14 Projections by grd (PCS)'!T25</f>
        <v>0</v>
      </c>
      <c r="U25" s="262">
        <f>SUM(B25:T25)+SUM(U26:U28)</f>
        <v>1417</v>
      </c>
      <c r="W25" s="264">
        <v>1620</v>
      </c>
      <c r="Y25" s="264" t="str">
        <f t="shared" si="0"/>
        <v>Enrollment ceiling increase not required</v>
      </c>
    </row>
    <row r="26" spans="1:25" hidden="1">
      <c r="A26" s="264" t="s">
        <v>488</v>
      </c>
      <c r="B26" s="264">
        <f>'[8]FY14 Projections by grd (PCS)'!B26</f>
        <v>0</v>
      </c>
      <c r="C26" s="264">
        <f>'[8]FY14 Projections by grd (PCS)'!C26</f>
        <v>0</v>
      </c>
      <c r="D26" s="264">
        <f>'[8]FY14 Projections by grd (PCS)'!D26</f>
        <v>0</v>
      </c>
      <c r="E26" s="264">
        <f>'[8]FY14 Projections by grd (PCS)'!E26</f>
        <v>0</v>
      </c>
      <c r="F26" s="264">
        <f>'[8]FY14 Projections by grd (PCS)'!F26</f>
        <v>0</v>
      </c>
      <c r="G26" s="264">
        <f>'[8]FY14 Projections by grd (PCS)'!G26</f>
        <v>0</v>
      </c>
      <c r="H26" s="264">
        <f>'[8]FY14 Projections by grd (PCS)'!H26</f>
        <v>0</v>
      </c>
      <c r="I26" s="264">
        <f>'[8]FY14 Projections by grd (PCS)'!I26</f>
        <v>0</v>
      </c>
      <c r="J26" s="264">
        <f>'[8]FY14 Projections by grd (PCS)'!J26</f>
        <v>105</v>
      </c>
      <c r="K26" s="264">
        <f>'[8]FY14 Projections by grd (PCS)'!K26</f>
        <v>90</v>
      </c>
      <c r="L26" s="264">
        <f>'[8]FY14 Projections by grd (PCS)'!L26</f>
        <v>80</v>
      </c>
      <c r="M26" s="264">
        <f>'[8]FY14 Projections by grd (PCS)'!M26</f>
        <v>30</v>
      </c>
      <c r="N26" s="264">
        <f>'[8]FY14 Projections by grd (PCS)'!N26</f>
        <v>0</v>
      </c>
      <c r="O26" s="264">
        <f>'[8]FY14 Projections by grd (PCS)'!O26</f>
        <v>0</v>
      </c>
      <c r="P26" s="264">
        <f>'[8]FY14 Projections by grd (PCS)'!P26</f>
        <v>0</v>
      </c>
      <c r="Q26" s="264">
        <f>'[8]FY14 Projections by grd (PCS)'!Q26</f>
        <v>0</v>
      </c>
      <c r="R26" s="264">
        <f>'[8]FY14 Projections by grd (PCS)'!R26</f>
        <v>0</v>
      </c>
      <c r="S26" s="264">
        <f>'[8]FY14 Projections by grd (PCS)'!S26</f>
        <v>0</v>
      </c>
      <c r="T26" s="264">
        <f>'[8]FY14 Projections by grd (PCS)'!T26</f>
        <v>0</v>
      </c>
      <c r="U26" s="262">
        <f>SUM(B26:T26)</f>
        <v>305</v>
      </c>
      <c r="W26" s="264"/>
      <c r="Y26" s="264" t="str">
        <f t="shared" si="0"/>
        <v>Enrollment ceiling increase required</v>
      </c>
    </row>
    <row r="27" spans="1:25" hidden="1">
      <c r="A27" s="264" t="s">
        <v>489</v>
      </c>
      <c r="B27" s="264">
        <f>'[8]FY14 Projections by grd (PCS)'!B27</f>
        <v>0</v>
      </c>
      <c r="C27" s="264">
        <f>'[8]FY14 Projections by grd (PCS)'!C27</f>
        <v>0</v>
      </c>
      <c r="D27" s="264">
        <f>'[8]FY14 Projections by grd (PCS)'!D27</f>
        <v>0</v>
      </c>
      <c r="E27" s="264">
        <f>'[8]FY14 Projections by grd (PCS)'!E27</f>
        <v>0</v>
      </c>
      <c r="F27" s="264">
        <f>'[8]FY14 Projections by grd (PCS)'!F27</f>
        <v>0</v>
      </c>
      <c r="G27" s="264">
        <f>'[8]FY14 Projections by grd (PCS)'!G27</f>
        <v>0</v>
      </c>
      <c r="H27" s="264">
        <f>'[8]FY14 Projections by grd (PCS)'!H27</f>
        <v>0</v>
      </c>
      <c r="I27" s="264">
        <f>'[8]FY14 Projections by grd (PCS)'!I27</f>
        <v>0</v>
      </c>
      <c r="J27" s="264">
        <f>'[8]FY14 Projections by grd (PCS)'!J27</f>
        <v>0</v>
      </c>
      <c r="K27" s="264">
        <f>'[8]FY14 Projections by grd (PCS)'!K27</f>
        <v>0</v>
      </c>
      <c r="L27" s="264">
        <f>'[8]FY14 Projections by grd (PCS)'!L27</f>
        <v>0</v>
      </c>
      <c r="M27" s="264">
        <f>'[8]FY14 Projections by grd (PCS)'!M27</f>
        <v>130</v>
      </c>
      <c r="N27" s="264">
        <f>'[8]FY14 Projections by grd (PCS)'!N27</f>
        <v>100</v>
      </c>
      <c r="O27" s="264">
        <f>'[8]FY14 Projections by grd (PCS)'!O27</f>
        <v>80</v>
      </c>
      <c r="P27" s="264">
        <f>'[8]FY14 Projections by grd (PCS)'!P27</f>
        <v>80</v>
      </c>
      <c r="Q27" s="264">
        <f>'[8]FY14 Projections by grd (PCS)'!Q27</f>
        <v>0</v>
      </c>
      <c r="R27" s="264">
        <f>'[8]FY14 Projections by grd (PCS)'!R27</f>
        <v>0</v>
      </c>
      <c r="S27" s="264">
        <f>'[8]FY14 Projections by grd (PCS)'!S27</f>
        <v>0</v>
      </c>
      <c r="T27" s="264">
        <f>'[8]FY14 Projections by grd (PCS)'!T27</f>
        <v>0</v>
      </c>
      <c r="U27" s="262">
        <f>SUM(B27:T27)</f>
        <v>390</v>
      </c>
      <c r="W27" s="264"/>
      <c r="Y27" s="264" t="str">
        <f t="shared" si="0"/>
        <v>Enrollment ceiling increase required</v>
      </c>
    </row>
    <row r="28" spans="1:25" hidden="1">
      <c r="A28" s="264" t="s">
        <v>490</v>
      </c>
      <c r="B28" s="264">
        <f>'[8]FY14 Projections by grd (PCS)'!B28</f>
        <v>0</v>
      </c>
      <c r="C28" s="264">
        <f>'[8]FY14 Projections by grd (PCS)'!C28</f>
        <v>0</v>
      </c>
      <c r="D28" s="264">
        <f>'[8]FY14 Projections by grd (PCS)'!D28</f>
        <v>0</v>
      </c>
      <c r="E28" s="264">
        <f>'[8]FY14 Projections by grd (PCS)'!E28</f>
        <v>0</v>
      </c>
      <c r="F28" s="264">
        <f>'[8]FY14 Projections by grd (PCS)'!F28</f>
        <v>0</v>
      </c>
      <c r="G28" s="264">
        <f>'[8]FY14 Projections by grd (PCS)'!G28</f>
        <v>0</v>
      </c>
      <c r="H28" s="264">
        <f>'[8]FY14 Projections by grd (PCS)'!H28</f>
        <v>0</v>
      </c>
      <c r="I28" s="264">
        <f>'[8]FY14 Projections by grd (PCS)'!I28</f>
        <v>0</v>
      </c>
      <c r="J28" s="264">
        <f>'[8]FY14 Projections by grd (PCS)'!J28</f>
        <v>110</v>
      </c>
      <c r="K28" s="264">
        <f>'[8]FY14 Projections by grd (PCS)'!K28</f>
        <v>106</v>
      </c>
      <c r="L28" s="264">
        <f>'[8]FY14 Projections by grd (PCS)'!L28</f>
        <v>96</v>
      </c>
      <c r="M28" s="264">
        <f>'[8]FY14 Projections by grd (PCS)'!M28</f>
        <v>0</v>
      </c>
      <c r="N28" s="264">
        <f>'[8]FY14 Projections by grd (PCS)'!N28</f>
        <v>0</v>
      </c>
      <c r="O28" s="264">
        <f>'[8]FY14 Projections by grd (PCS)'!O28</f>
        <v>0</v>
      </c>
      <c r="P28" s="264">
        <f>'[8]FY14 Projections by grd (PCS)'!P28</f>
        <v>0</v>
      </c>
      <c r="Q28" s="264">
        <f>'[8]FY14 Projections by grd (PCS)'!Q28</f>
        <v>0</v>
      </c>
      <c r="R28" s="264">
        <f>'[8]FY14 Projections by grd (PCS)'!R28</f>
        <v>0</v>
      </c>
      <c r="S28" s="264">
        <f>'[8]FY14 Projections by grd (PCS)'!S28</f>
        <v>0</v>
      </c>
      <c r="T28" s="264">
        <f>'[8]FY14 Projections by grd (PCS)'!T28</f>
        <v>0</v>
      </c>
      <c r="U28" s="262">
        <f t="shared" si="1"/>
        <v>312</v>
      </c>
      <c r="W28" s="264"/>
      <c r="Y28" s="264" t="str">
        <f t="shared" si="0"/>
        <v>Enrollment ceiling increase required</v>
      </c>
    </row>
    <row r="29" spans="1:25">
      <c r="A29" s="264" t="s">
        <v>595</v>
      </c>
      <c r="B29" s="264">
        <f>'[8]FY14 Projections by grd (PCS)'!B29</f>
        <v>72</v>
      </c>
      <c r="C29" s="264">
        <f>'[8]FY14 Projections by grd (PCS)'!C29</f>
        <v>81</v>
      </c>
      <c r="D29" s="264">
        <f>'[8]FY14 Projections by grd (PCS)'!D29</f>
        <v>63</v>
      </c>
      <c r="E29" s="264">
        <f>'[8]FY14 Projections by grd (PCS)'!E29</f>
        <v>85</v>
      </c>
      <c r="F29" s="264">
        <f>'[8]FY14 Projections by grd (PCS)'!F29</f>
        <v>76</v>
      </c>
      <c r="G29" s="264">
        <f>'[8]FY14 Projections by grd (PCS)'!G29</f>
        <v>50</v>
      </c>
      <c r="H29" s="264">
        <f>'[8]FY14 Projections by grd (PCS)'!H29</f>
        <v>48</v>
      </c>
      <c r="I29" s="264">
        <f>'[8]FY14 Projections by grd (PCS)'!I29</f>
        <v>45</v>
      </c>
      <c r="J29" s="264">
        <f>'[8]FY14 Projections by grd (PCS)'!J29</f>
        <v>0</v>
      </c>
      <c r="K29" s="264">
        <f>'[8]FY14 Projections by grd (PCS)'!K29</f>
        <v>0</v>
      </c>
      <c r="L29" s="264">
        <f>'[8]FY14 Projections by grd (PCS)'!L29</f>
        <v>0</v>
      </c>
      <c r="M29" s="264">
        <f>'[8]FY14 Projections by grd (PCS)'!M29</f>
        <v>0</v>
      </c>
      <c r="N29" s="264">
        <f>'[8]FY14 Projections by grd (PCS)'!N29</f>
        <v>0</v>
      </c>
      <c r="O29" s="264">
        <f>'[8]FY14 Projections by grd (PCS)'!O29</f>
        <v>0</v>
      </c>
      <c r="P29" s="264">
        <f>'[8]FY14 Projections by grd (PCS)'!P29</f>
        <v>0</v>
      </c>
      <c r="Q29" s="264">
        <f>'[8]FY14 Projections by grd (PCS)'!Q29</f>
        <v>0</v>
      </c>
      <c r="R29" s="264">
        <f>'[8]FY14 Projections by grd (PCS)'!R29</f>
        <v>0</v>
      </c>
      <c r="S29" s="264">
        <f>'[8]FY14 Projections by grd (PCS)'!S29</f>
        <v>0</v>
      </c>
      <c r="T29" s="264">
        <f>'[8]FY14 Projections by grd (PCS)'!T29</f>
        <v>0</v>
      </c>
      <c r="U29" s="262">
        <f>SUM(B29:T29)+SUM(U30:U33)</f>
        <v>1700</v>
      </c>
      <c r="W29" s="264">
        <v>4570</v>
      </c>
      <c r="Y29" s="264" t="str">
        <f t="shared" si="0"/>
        <v>Enrollment ceiling increase not required</v>
      </c>
    </row>
    <row r="30" spans="1:25" hidden="1">
      <c r="A30" s="264" t="s">
        <v>492</v>
      </c>
      <c r="B30" s="264">
        <f>'[8]FY14 Projections by grd (PCS)'!B30</f>
        <v>102</v>
      </c>
      <c r="C30" s="264">
        <f>'[8]FY14 Projections by grd (PCS)'!C30</f>
        <v>114</v>
      </c>
      <c r="D30" s="264">
        <f>'[8]FY14 Projections by grd (PCS)'!D30</f>
        <v>84</v>
      </c>
      <c r="E30" s="264">
        <f>'[8]FY14 Projections by grd (PCS)'!E30</f>
        <v>0</v>
      </c>
      <c r="F30" s="264">
        <f>'[8]FY14 Projections by grd (PCS)'!F30</f>
        <v>0</v>
      </c>
      <c r="G30" s="264">
        <f>'[8]FY14 Projections by grd (PCS)'!G30</f>
        <v>0</v>
      </c>
      <c r="H30" s="264">
        <f>'[8]FY14 Projections by grd (PCS)'!H30</f>
        <v>0</v>
      </c>
      <c r="I30" s="264">
        <f>'[8]FY14 Projections by grd (PCS)'!I30</f>
        <v>0</v>
      </c>
      <c r="J30" s="264">
        <f>'[8]FY14 Projections by grd (PCS)'!J30</f>
        <v>0</v>
      </c>
      <c r="K30" s="264">
        <f>'[8]FY14 Projections by grd (PCS)'!K30</f>
        <v>0</v>
      </c>
      <c r="L30" s="264">
        <f>'[8]FY14 Projections by grd (PCS)'!L30</f>
        <v>0</v>
      </c>
      <c r="M30" s="264">
        <f>'[8]FY14 Projections by grd (PCS)'!M30</f>
        <v>0</v>
      </c>
      <c r="N30" s="264">
        <f>'[8]FY14 Projections by grd (PCS)'!N30</f>
        <v>0</v>
      </c>
      <c r="O30" s="264">
        <f>'[8]FY14 Projections by grd (PCS)'!O30</f>
        <v>0</v>
      </c>
      <c r="P30" s="264">
        <f>'[8]FY14 Projections by grd (PCS)'!P30</f>
        <v>0</v>
      </c>
      <c r="Q30" s="264">
        <f>'[8]FY14 Projections by grd (PCS)'!Q30</f>
        <v>0</v>
      </c>
      <c r="R30" s="264">
        <f>'[8]FY14 Projections by grd (PCS)'!R30</f>
        <v>0</v>
      </c>
      <c r="S30" s="264">
        <f>'[8]FY14 Projections by grd (PCS)'!S30</f>
        <v>0</v>
      </c>
      <c r="T30" s="264">
        <f>'[8]FY14 Projections by grd (PCS)'!T30</f>
        <v>0</v>
      </c>
      <c r="U30" s="262">
        <f t="shared" si="1"/>
        <v>300</v>
      </c>
      <c r="W30" s="264"/>
      <c r="Y30" s="264" t="str">
        <f t="shared" si="0"/>
        <v>Enrollment ceiling increase required</v>
      </c>
    </row>
    <row r="31" spans="1:25" hidden="1">
      <c r="A31" s="264" t="s">
        <v>493</v>
      </c>
      <c r="B31" s="264">
        <f>'[8]FY14 Projections by grd (PCS)'!B31</f>
        <v>114</v>
      </c>
      <c r="C31" s="264">
        <f>'[8]FY14 Projections by grd (PCS)'!C31</f>
        <v>66</v>
      </c>
      <c r="D31" s="264">
        <f>'[8]FY14 Projections by grd (PCS)'!D31</f>
        <v>60</v>
      </c>
      <c r="E31" s="264">
        <f>'[8]FY14 Projections by grd (PCS)'!E31</f>
        <v>45</v>
      </c>
      <c r="F31" s="264">
        <f>'[8]FY14 Projections by grd (PCS)'!F31</f>
        <v>42</v>
      </c>
      <c r="G31" s="264">
        <f>'[8]FY14 Projections by grd (PCS)'!G31</f>
        <v>33</v>
      </c>
      <c r="H31" s="264">
        <f>'[8]FY14 Projections by grd (PCS)'!H31</f>
        <v>37</v>
      </c>
      <c r="I31" s="264">
        <f>'[8]FY14 Projections by grd (PCS)'!I31</f>
        <v>25</v>
      </c>
      <c r="J31" s="264">
        <f>'[8]FY14 Projections by grd (PCS)'!J31</f>
        <v>0</v>
      </c>
      <c r="K31" s="264">
        <f>'[8]FY14 Projections by grd (PCS)'!K31</f>
        <v>0</v>
      </c>
      <c r="L31" s="264">
        <f>'[8]FY14 Projections by grd (PCS)'!L31</f>
        <v>0</v>
      </c>
      <c r="M31" s="264">
        <f>'[8]FY14 Projections by grd (PCS)'!M31</f>
        <v>0</v>
      </c>
      <c r="N31" s="264">
        <f>'[8]FY14 Projections by grd (PCS)'!N31</f>
        <v>0</v>
      </c>
      <c r="O31" s="264">
        <f>'[8]FY14 Projections by grd (PCS)'!O31</f>
        <v>0</v>
      </c>
      <c r="P31" s="264">
        <f>'[8]FY14 Projections by grd (PCS)'!P31</f>
        <v>0</v>
      </c>
      <c r="Q31" s="264">
        <f>'[8]FY14 Projections by grd (PCS)'!Q31</f>
        <v>0</v>
      </c>
      <c r="R31" s="264">
        <f>'[8]FY14 Projections by grd (PCS)'!R31</f>
        <v>0</v>
      </c>
      <c r="S31" s="264">
        <f>'[8]FY14 Projections by grd (PCS)'!S31</f>
        <v>0</v>
      </c>
      <c r="T31" s="264">
        <f>'[8]FY14 Projections by grd (PCS)'!T31</f>
        <v>0</v>
      </c>
      <c r="U31" s="262">
        <f t="shared" si="1"/>
        <v>422</v>
      </c>
      <c r="W31" s="264"/>
      <c r="Y31" s="264" t="str">
        <f t="shared" si="0"/>
        <v>Enrollment ceiling increase required</v>
      </c>
    </row>
    <row r="32" spans="1:25" hidden="1">
      <c r="A32" s="264" t="s">
        <v>495</v>
      </c>
      <c r="B32" s="264">
        <f>'[8]FY14 Projections by grd (PCS)'!B32</f>
        <v>60</v>
      </c>
      <c r="C32" s="264">
        <f>'[8]FY14 Projections by grd (PCS)'!C32</f>
        <v>60</v>
      </c>
      <c r="D32" s="264">
        <f>'[8]FY14 Projections by grd (PCS)'!D32</f>
        <v>60</v>
      </c>
      <c r="E32" s="264">
        <f>'[8]FY14 Projections by grd (PCS)'!E32</f>
        <v>46</v>
      </c>
      <c r="F32" s="264">
        <f>'[8]FY14 Projections by grd (PCS)'!F32</f>
        <v>22</v>
      </c>
      <c r="G32" s="264">
        <f>'[8]FY14 Projections by grd (PCS)'!G32</f>
        <v>20</v>
      </c>
      <c r="H32" s="264">
        <f>'[8]FY14 Projections by grd (PCS)'!H32</f>
        <v>20</v>
      </c>
      <c r="I32" s="264">
        <f>'[8]FY14 Projections by grd (PCS)'!I32</f>
        <v>20</v>
      </c>
      <c r="J32" s="264">
        <f>'[8]FY14 Projections by grd (PCS)'!J32</f>
        <v>0</v>
      </c>
      <c r="K32" s="264">
        <f>'[8]FY14 Projections by grd (PCS)'!K32</f>
        <v>0</v>
      </c>
      <c r="L32" s="264">
        <f>'[8]FY14 Projections by grd (PCS)'!L32</f>
        <v>0</v>
      </c>
      <c r="M32" s="264">
        <f>'[8]FY14 Projections by grd (PCS)'!M32</f>
        <v>0</v>
      </c>
      <c r="N32" s="264">
        <f>'[8]FY14 Projections by grd (PCS)'!N32</f>
        <v>0</v>
      </c>
      <c r="O32" s="264">
        <f>'[8]FY14 Projections by grd (PCS)'!O32</f>
        <v>0</v>
      </c>
      <c r="P32" s="264">
        <f>'[8]FY14 Projections by grd (PCS)'!P32</f>
        <v>0</v>
      </c>
      <c r="Q32" s="264">
        <f>'[8]FY14 Projections by grd (PCS)'!Q32</f>
        <v>0</v>
      </c>
      <c r="R32" s="264">
        <f>'[8]FY14 Projections by grd (PCS)'!R32</f>
        <v>0</v>
      </c>
      <c r="S32" s="264">
        <f>'[8]FY14 Projections by grd (PCS)'!S32</f>
        <v>0</v>
      </c>
      <c r="T32" s="264">
        <f>'[8]FY14 Projections by grd (PCS)'!T32</f>
        <v>0</v>
      </c>
      <c r="U32" s="262">
        <f t="shared" si="1"/>
        <v>308</v>
      </c>
      <c r="W32" s="264"/>
      <c r="Y32" s="264" t="str">
        <f t="shared" si="0"/>
        <v>Enrollment ceiling increase required</v>
      </c>
    </row>
    <row r="33" spans="1:28" hidden="1">
      <c r="A33" s="264" t="s">
        <v>496</v>
      </c>
      <c r="B33" s="264">
        <f>'[8]FY14 Projections by grd (PCS)'!B33</f>
        <v>0</v>
      </c>
      <c r="C33" s="264">
        <f>'[8]FY14 Projections by grd (PCS)'!C33</f>
        <v>0</v>
      </c>
      <c r="D33" s="264">
        <f>'[8]FY14 Projections by grd (PCS)'!D33</f>
        <v>18</v>
      </c>
      <c r="E33" s="264">
        <f>'[8]FY14 Projections by grd (PCS)'!E33</f>
        <v>18</v>
      </c>
      <c r="F33" s="264">
        <f>'[8]FY14 Projections by grd (PCS)'!F33</f>
        <v>18</v>
      </c>
      <c r="G33" s="264">
        <f>'[8]FY14 Projections by grd (PCS)'!G33</f>
        <v>19</v>
      </c>
      <c r="H33" s="264">
        <f>'[8]FY14 Projections by grd (PCS)'!H33</f>
        <v>16</v>
      </c>
      <c r="I33" s="264">
        <f>'[8]FY14 Projections by grd (PCS)'!I33</f>
        <v>16</v>
      </c>
      <c r="J33" s="264">
        <f>'[8]FY14 Projections by grd (PCS)'!J33</f>
        <v>15</v>
      </c>
      <c r="K33" s="264">
        <f>'[8]FY14 Projections by grd (PCS)'!K33</f>
        <v>15</v>
      </c>
      <c r="L33" s="264">
        <f>'[8]FY14 Projections by grd (PCS)'!L33</f>
        <v>15</v>
      </c>
      <c r="M33" s="264">
        <f>'[8]FY14 Projections by grd (PCS)'!M33</f>
        <v>0</v>
      </c>
      <c r="N33" s="264">
        <f>'[8]FY14 Projections by grd (PCS)'!N33</f>
        <v>0</v>
      </c>
      <c r="O33" s="264">
        <f>'[8]FY14 Projections by grd (PCS)'!O33</f>
        <v>0</v>
      </c>
      <c r="P33" s="264">
        <f>'[8]FY14 Projections by grd (PCS)'!P33</f>
        <v>0</v>
      </c>
      <c r="Q33" s="264">
        <f>'[8]FY14 Projections by grd (PCS)'!Q33</f>
        <v>0</v>
      </c>
      <c r="R33" s="264">
        <f>'[8]FY14 Projections by grd (PCS)'!R33</f>
        <v>0</v>
      </c>
      <c r="S33" s="264">
        <f>'[8]FY14 Projections by grd (PCS)'!S33</f>
        <v>0</v>
      </c>
      <c r="T33" s="264">
        <f>'[8]FY14 Projections by grd (PCS)'!T33</f>
        <v>0</v>
      </c>
      <c r="U33" s="262">
        <f t="shared" si="1"/>
        <v>150</v>
      </c>
      <c r="W33" s="264"/>
      <c r="Y33" s="264" t="str">
        <f t="shared" si="0"/>
        <v>Enrollment ceiling increase required</v>
      </c>
    </row>
    <row r="34" spans="1:28">
      <c r="A34" s="265" t="s">
        <v>498</v>
      </c>
      <c r="B34" s="264">
        <f>'[8]FY14 Projections by grd (PCS)'!B34</f>
        <v>0</v>
      </c>
      <c r="C34" s="264">
        <f>'[8]FY14 Projections by grd (PCS)'!C34</f>
        <v>0</v>
      </c>
      <c r="D34" s="264">
        <f>'[8]FY14 Projections by grd (PCS)'!D34</f>
        <v>0</v>
      </c>
      <c r="E34" s="264">
        <f>'[8]FY14 Projections by grd (PCS)'!E34</f>
        <v>0</v>
      </c>
      <c r="F34" s="264">
        <f>'[8]FY14 Projections by grd (PCS)'!F34</f>
        <v>0</v>
      </c>
      <c r="G34" s="264">
        <f>'[8]FY14 Projections by grd (PCS)'!G34</f>
        <v>0</v>
      </c>
      <c r="H34" s="264">
        <f>'[8]FY14 Projections by grd (PCS)'!H34</f>
        <v>0</v>
      </c>
      <c r="I34" s="264">
        <f>'[8]FY14 Projections by grd (PCS)'!I34</f>
        <v>0</v>
      </c>
      <c r="J34" s="264">
        <f>'[8]FY14 Projections by grd (PCS)'!J34</f>
        <v>0</v>
      </c>
      <c r="K34" s="264">
        <f>'[8]FY14 Projections by grd (PCS)'!K34</f>
        <v>0</v>
      </c>
      <c r="L34" s="264">
        <f>'[8]FY14 Projections by grd (PCS)'!L34</f>
        <v>0</v>
      </c>
      <c r="M34" s="264">
        <f>'[8]FY14 Projections by grd (PCS)'!M34</f>
        <v>0</v>
      </c>
      <c r="N34" s="264">
        <f>'[8]FY14 Projections by grd (PCS)'!N34</f>
        <v>0</v>
      </c>
      <c r="O34" s="264">
        <f>'[8]FY14 Projections by grd (PCS)'!O34</f>
        <v>0</v>
      </c>
      <c r="P34" s="264">
        <f>'[8]FY14 Projections by grd (PCS)'!P34</f>
        <v>0</v>
      </c>
      <c r="Q34" s="264">
        <f>'[8]FY14 Projections by grd (PCS)'!Q34</f>
        <v>150</v>
      </c>
      <c r="R34" s="264">
        <f>'[8]FY14 Projections by grd (PCS)'!R34</f>
        <v>0</v>
      </c>
      <c r="S34" s="264">
        <f>'[8]FY14 Projections by grd (PCS)'!S34</f>
        <v>0</v>
      </c>
      <c r="T34" s="264">
        <f>'[8]FY14 Projections by grd (PCS)'!T34</f>
        <v>0</v>
      </c>
      <c r="U34" s="262">
        <f t="shared" si="1"/>
        <v>150</v>
      </c>
      <c r="W34" s="264">
        <v>150</v>
      </c>
      <c r="Y34" s="264" t="str">
        <f t="shared" si="0"/>
        <v>Enrollment ceiling increase not required</v>
      </c>
    </row>
    <row r="35" spans="1:28">
      <c r="A35" s="264" t="s">
        <v>499</v>
      </c>
      <c r="B35" s="264">
        <f>'[8]FY14 Projections by grd (PCS)'!B35</f>
        <v>30</v>
      </c>
      <c r="C35" s="264">
        <f>'[8]FY14 Projections by grd (PCS)'!C35</f>
        <v>32</v>
      </c>
      <c r="D35" s="264">
        <f>'[8]FY14 Projections by grd (PCS)'!D35</f>
        <v>32</v>
      </c>
      <c r="E35" s="264">
        <f>'[8]FY14 Projections by grd (PCS)'!E35</f>
        <v>17</v>
      </c>
      <c r="F35" s="264">
        <f>'[8]FY14 Projections by grd (PCS)'!F35</f>
        <v>13</v>
      </c>
      <c r="G35" s="266">
        <f>'[8]FY14 Projections by grd (PCS)'!G35</f>
        <v>12</v>
      </c>
      <c r="H35" s="264">
        <f>'[8]FY14 Projections by grd (PCS)'!H35</f>
        <v>0</v>
      </c>
      <c r="I35" s="264">
        <f>'[8]FY14 Projections by grd (PCS)'!I35</f>
        <v>0</v>
      </c>
      <c r="J35" s="264">
        <f>'[8]FY14 Projections by grd (PCS)'!J35</f>
        <v>0</v>
      </c>
      <c r="K35" s="264">
        <f>'[8]FY14 Projections by grd (PCS)'!K35</f>
        <v>0</v>
      </c>
      <c r="L35" s="264">
        <f>'[8]FY14 Projections by grd (PCS)'!L35</f>
        <v>0</v>
      </c>
      <c r="M35" s="264">
        <f>'[8]FY14 Projections by grd (PCS)'!M35</f>
        <v>0</v>
      </c>
      <c r="N35" s="264">
        <f>'[8]FY14 Projections by grd (PCS)'!N35</f>
        <v>0</v>
      </c>
      <c r="O35" s="264">
        <f>'[8]FY14 Projections by grd (PCS)'!O35</f>
        <v>0</v>
      </c>
      <c r="P35" s="264">
        <f>'[8]FY14 Projections by grd (PCS)'!P35</f>
        <v>0</v>
      </c>
      <c r="Q35" s="264">
        <f>'[8]FY14 Projections by grd (PCS)'!Q35</f>
        <v>0</v>
      </c>
      <c r="R35" s="264">
        <f>'[8]FY14 Projections by grd (PCS)'!R35</f>
        <v>0</v>
      </c>
      <c r="S35" s="264">
        <f>'[8]FY14 Projections by grd (PCS)'!S35</f>
        <v>0</v>
      </c>
      <c r="T35" s="264">
        <f>'[8]FY14 Projections by grd (PCS)'!T35</f>
        <v>0</v>
      </c>
      <c r="U35" s="262">
        <f t="shared" si="1"/>
        <v>136</v>
      </c>
      <c r="W35" s="264">
        <v>135</v>
      </c>
      <c r="Y35" s="264" t="str">
        <f t="shared" si="0"/>
        <v>Enrollment ceiling increase required</v>
      </c>
      <c r="AB35" s="264" t="s">
        <v>606</v>
      </c>
    </row>
    <row r="36" spans="1:28">
      <c r="A36" s="264" t="s">
        <v>501</v>
      </c>
      <c r="B36" s="264">
        <f>'[8]FY14 Projections by grd (PCS)'!B36</f>
        <v>20</v>
      </c>
      <c r="C36" s="264">
        <f>'[8]FY14 Projections by grd (PCS)'!C36</f>
        <v>46</v>
      </c>
      <c r="D36" s="264">
        <f>'[8]FY14 Projections by grd (PCS)'!D36</f>
        <v>48</v>
      </c>
      <c r="E36" s="264">
        <f>'[8]FY14 Projections by grd (PCS)'!E36</f>
        <v>48</v>
      </c>
      <c r="F36" s="264">
        <f>'[8]FY14 Projections by grd (PCS)'!F36</f>
        <v>46</v>
      </c>
      <c r="G36" s="264">
        <f>'[8]FY14 Projections by grd (PCS)'!G36</f>
        <v>40</v>
      </c>
      <c r="H36" s="264">
        <f>'[8]FY14 Projections by grd (PCS)'!H36</f>
        <v>68</v>
      </c>
      <c r="I36" s="264">
        <f>'[8]FY14 Projections by grd (PCS)'!I36</f>
        <v>34</v>
      </c>
      <c r="J36" s="264">
        <f>'[8]FY14 Projections by grd (PCS)'!J36</f>
        <v>30</v>
      </c>
      <c r="K36" s="264">
        <f>'[8]FY14 Projections by grd (PCS)'!K36</f>
        <v>0</v>
      </c>
      <c r="L36" s="264">
        <f>'[8]FY14 Projections by grd (PCS)'!L36</f>
        <v>0</v>
      </c>
      <c r="M36" s="264">
        <f>'[8]FY14 Projections by grd (PCS)'!M36</f>
        <v>0</v>
      </c>
      <c r="N36" s="264">
        <f>'[8]FY14 Projections by grd (PCS)'!N36</f>
        <v>0</v>
      </c>
      <c r="O36" s="264">
        <f>'[8]FY14 Projections by grd (PCS)'!O36</f>
        <v>0</v>
      </c>
      <c r="P36" s="264">
        <f>'[8]FY14 Projections by grd (PCS)'!P36</f>
        <v>0</v>
      </c>
      <c r="Q36" s="264">
        <f>'[8]FY14 Projections by grd (PCS)'!Q36</f>
        <v>0</v>
      </c>
      <c r="R36" s="264">
        <f>'[8]FY14 Projections by grd (PCS)'!R36</f>
        <v>0</v>
      </c>
      <c r="S36" s="264">
        <f>'[8]FY14 Projections by grd (PCS)'!S36</f>
        <v>0</v>
      </c>
      <c r="T36" s="264">
        <f>'[8]FY14 Projections by grd (PCS)'!T36</f>
        <v>0</v>
      </c>
      <c r="U36" s="262">
        <f t="shared" si="1"/>
        <v>380</v>
      </c>
      <c r="W36" s="264">
        <v>550</v>
      </c>
      <c r="Y36" s="264" t="str">
        <f t="shared" si="0"/>
        <v>Enrollment ceiling increase not required</v>
      </c>
    </row>
    <row r="37" spans="1:28">
      <c r="A37" s="264" t="s">
        <v>596</v>
      </c>
      <c r="B37" s="264">
        <f>'[8]FY14 Projections by grd (PCS)'!B37</f>
        <v>72</v>
      </c>
      <c r="C37" s="264">
        <f>'[8]FY14 Projections by grd (PCS)'!C37</f>
        <v>66</v>
      </c>
      <c r="D37" s="264">
        <f>'[8]FY14 Projections by grd (PCS)'!D37</f>
        <v>69</v>
      </c>
      <c r="E37" s="264">
        <f>'[8]FY14 Projections by grd (PCS)'!E37</f>
        <v>66</v>
      </c>
      <c r="F37" s="264">
        <f>'[8]FY14 Projections by grd (PCS)'!F37</f>
        <v>66</v>
      </c>
      <c r="G37" s="264">
        <f>'[8]FY14 Projections by grd (PCS)'!G37</f>
        <v>69</v>
      </c>
      <c r="H37" s="264">
        <f>'[8]FY14 Projections by grd (PCS)'!H37</f>
        <v>0</v>
      </c>
      <c r="I37" s="264">
        <f>'[8]FY14 Projections by grd (PCS)'!I37</f>
        <v>0</v>
      </c>
      <c r="J37" s="264">
        <f>'[8]FY14 Projections by grd (PCS)'!J37</f>
        <v>0</v>
      </c>
      <c r="K37" s="264">
        <f>'[8]FY14 Projections by grd (PCS)'!K37</f>
        <v>0</v>
      </c>
      <c r="L37" s="264">
        <f>'[8]FY14 Projections by grd (PCS)'!L37</f>
        <v>0</v>
      </c>
      <c r="M37" s="264">
        <f>'[8]FY14 Projections by grd (PCS)'!M37</f>
        <v>0</v>
      </c>
      <c r="N37" s="264">
        <f>'[8]FY14 Projections by grd (PCS)'!N37</f>
        <v>0</v>
      </c>
      <c r="O37" s="264">
        <f>'[8]FY14 Projections by grd (PCS)'!O37</f>
        <v>0</v>
      </c>
      <c r="P37" s="264">
        <f>'[8]FY14 Projections by grd (PCS)'!P37</f>
        <v>0</v>
      </c>
      <c r="Q37" s="264">
        <f>'[8]FY14 Projections by grd (PCS)'!Q37</f>
        <v>0</v>
      </c>
      <c r="R37" s="264">
        <f>'[8]FY14 Projections by grd (PCS)'!R37</f>
        <v>0</v>
      </c>
      <c r="S37" s="264">
        <f>'[8]FY14 Projections by grd (PCS)'!S37</f>
        <v>0</v>
      </c>
      <c r="T37" s="264">
        <f>'[8]FY14 Projections by grd (PCS)'!T37</f>
        <v>0</v>
      </c>
      <c r="U37" s="262">
        <f>SUM(B37:T37)+SUM(U38:U40)</f>
        <v>1175</v>
      </c>
      <c r="W37" s="264">
        <v>1150</v>
      </c>
      <c r="Y37" s="264" t="str">
        <f t="shared" si="0"/>
        <v>Enrollment ceiling increase required</v>
      </c>
      <c r="AB37" s="264" t="s">
        <v>614</v>
      </c>
    </row>
    <row r="38" spans="1:28" hidden="1">
      <c r="A38" s="264" t="s">
        <v>505</v>
      </c>
      <c r="B38" s="264">
        <f>'[8]FY14 Projections by grd (PCS)'!B38</f>
        <v>0</v>
      </c>
      <c r="C38" s="264">
        <f>'[8]FY14 Projections by grd (PCS)'!C38</f>
        <v>0</v>
      </c>
      <c r="D38" s="264">
        <f>'[8]FY14 Projections by grd (PCS)'!D38</f>
        <v>0</v>
      </c>
      <c r="E38" s="264">
        <f>'[8]FY14 Projections by grd (PCS)'!E38</f>
        <v>0</v>
      </c>
      <c r="F38" s="264">
        <f>'[8]FY14 Projections by grd (PCS)'!F38</f>
        <v>0</v>
      </c>
      <c r="G38" s="264">
        <f>'[8]FY14 Projections by grd (PCS)'!G38</f>
        <v>0</v>
      </c>
      <c r="H38" s="266">
        <f>'[8]FY14 Projections by grd (PCS)'!H38</f>
        <v>75</v>
      </c>
      <c r="I38" s="264">
        <f>'[8]FY14 Projections by grd (PCS)'!I38</f>
        <v>0</v>
      </c>
      <c r="J38" s="264">
        <f>'[8]FY14 Projections by grd (PCS)'!J38</f>
        <v>0</v>
      </c>
      <c r="K38" s="264">
        <f>'[8]FY14 Projections by grd (PCS)'!K38</f>
        <v>0</v>
      </c>
      <c r="L38" s="264">
        <f>'[8]FY14 Projections by grd (PCS)'!L38</f>
        <v>0</v>
      </c>
      <c r="M38" s="264">
        <f>'[8]FY14 Projections by grd (PCS)'!M38</f>
        <v>0</v>
      </c>
      <c r="N38" s="264">
        <f>'[8]FY14 Projections by grd (PCS)'!N38</f>
        <v>0</v>
      </c>
      <c r="O38" s="264">
        <f>'[8]FY14 Projections by grd (PCS)'!O38</f>
        <v>0</v>
      </c>
      <c r="P38" s="264">
        <f>'[8]FY14 Projections by grd (PCS)'!P38</f>
        <v>0</v>
      </c>
      <c r="Q38" s="264">
        <f>'[8]FY14 Projections by grd (PCS)'!Q38</f>
        <v>0</v>
      </c>
      <c r="R38" s="264">
        <f>'[8]FY14 Projections by grd (PCS)'!R38</f>
        <v>0</v>
      </c>
      <c r="S38" s="264">
        <f>'[8]FY14 Projections by grd (PCS)'!S38</f>
        <v>0</v>
      </c>
      <c r="T38" s="264">
        <f>'[8]FY14 Projections by grd (PCS)'!T38</f>
        <v>0</v>
      </c>
      <c r="U38" s="262">
        <f t="shared" si="1"/>
        <v>75</v>
      </c>
      <c r="W38" s="264"/>
      <c r="Y38" s="264" t="str">
        <f t="shared" si="0"/>
        <v>Enrollment ceiling increase required</v>
      </c>
    </row>
    <row r="39" spans="1:28" hidden="1">
      <c r="A39" s="264" t="s">
        <v>506</v>
      </c>
      <c r="B39" s="264">
        <f>'[8]FY14 Projections by grd (PCS)'!B39</f>
        <v>72</v>
      </c>
      <c r="C39" s="264">
        <f>'[8]FY14 Projections by grd (PCS)'!C39</f>
        <v>66</v>
      </c>
      <c r="D39" s="264">
        <f>'[8]FY14 Projections by grd (PCS)'!D39</f>
        <v>69</v>
      </c>
      <c r="E39" s="264">
        <f>'[8]FY14 Projections by grd (PCS)'!E39</f>
        <v>66</v>
      </c>
      <c r="F39" s="264">
        <f>'[8]FY14 Projections by grd (PCS)'!F39</f>
        <v>66</v>
      </c>
      <c r="G39" s="264">
        <f>'[8]FY14 Projections by grd (PCS)'!G39</f>
        <v>69</v>
      </c>
      <c r="H39" s="264">
        <f>'[8]FY14 Projections by grd (PCS)'!H39</f>
        <v>0</v>
      </c>
      <c r="I39" s="264">
        <f>'[8]FY14 Projections by grd (PCS)'!I39</f>
        <v>0</v>
      </c>
      <c r="J39" s="264">
        <f>'[8]FY14 Projections by grd (PCS)'!J39</f>
        <v>0</v>
      </c>
      <c r="K39" s="264">
        <f>'[8]FY14 Projections by grd (PCS)'!K39</f>
        <v>0</v>
      </c>
      <c r="L39" s="264">
        <f>'[8]FY14 Projections by grd (PCS)'!L39</f>
        <v>0</v>
      </c>
      <c r="M39" s="264">
        <f>'[8]FY14 Projections by grd (PCS)'!M39</f>
        <v>0</v>
      </c>
      <c r="N39" s="264">
        <f>'[8]FY14 Projections by grd (PCS)'!N39</f>
        <v>0</v>
      </c>
      <c r="O39" s="264">
        <f>'[8]FY14 Projections by grd (PCS)'!O39</f>
        <v>0</v>
      </c>
      <c r="P39" s="264">
        <f>'[8]FY14 Projections by grd (PCS)'!P39</f>
        <v>0</v>
      </c>
      <c r="Q39" s="264">
        <f>'[8]FY14 Projections by grd (PCS)'!Q39</f>
        <v>0</v>
      </c>
      <c r="R39" s="264">
        <f>'[8]FY14 Projections by grd (PCS)'!R39</f>
        <v>0</v>
      </c>
      <c r="S39" s="264">
        <f>'[8]FY14 Projections by grd (PCS)'!S39</f>
        <v>0</v>
      </c>
      <c r="T39" s="264">
        <f>'[8]FY14 Projections by grd (PCS)'!T39</f>
        <v>0</v>
      </c>
      <c r="U39" s="262">
        <f t="shared" si="1"/>
        <v>408</v>
      </c>
      <c r="W39" s="264"/>
      <c r="Y39" s="264" t="str">
        <f t="shared" si="0"/>
        <v>Enrollment ceiling increase required</v>
      </c>
    </row>
    <row r="40" spans="1:28" hidden="1">
      <c r="A40" s="264" t="s">
        <v>508</v>
      </c>
      <c r="B40" s="264">
        <f>'[8]FY14 Projections by grd (PCS)'!B40</f>
        <v>0</v>
      </c>
      <c r="C40" s="264">
        <f>'[8]FY14 Projections by grd (PCS)'!C40</f>
        <v>0</v>
      </c>
      <c r="D40" s="264">
        <f>'[8]FY14 Projections by grd (PCS)'!D40</f>
        <v>0</v>
      </c>
      <c r="E40" s="264">
        <f>'[8]FY14 Projections by grd (PCS)'!E40</f>
        <v>0</v>
      </c>
      <c r="F40" s="264">
        <f>'[8]FY14 Projections by grd (PCS)'!F40</f>
        <v>0</v>
      </c>
      <c r="G40" s="264">
        <f>'[8]FY14 Projections by grd (PCS)'!G40</f>
        <v>0</v>
      </c>
      <c r="H40" s="264">
        <f>'[8]FY14 Projections by grd (PCS)'!H40</f>
        <v>75</v>
      </c>
      <c r="I40" s="264">
        <f>'[8]FY14 Projections by grd (PCS)'!I40</f>
        <v>69</v>
      </c>
      <c r="J40" s="264">
        <f>'[8]FY14 Projections by grd (PCS)'!J40</f>
        <v>63</v>
      </c>
      <c r="K40" s="264">
        <f>'[8]FY14 Projections by grd (PCS)'!K40</f>
        <v>45</v>
      </c>
      <c r="L40" s="264">
        <f>'[8]FY14 Projections by grd (PCS)'!L40</f>
        <v>32</v>
      </c>
      <c r="M40" s="264">
        <f>'[8]FY14 Projections by grd (PCS)'!M40</f>
        <v>0</v>
      </c>
      <c r="N40" s="264">
        <f>'[8]FY14 Projections by grd (PCS)'!N40</f>
        <v>0</v>
      </c>
      <c r="O40" s="264">
        <f>'[8]FY14 Projections by grd (PCS)'!O40</f>
        <v>0</v>
      </c>
      <c r="P40" s="264">
        <f>'[8]FY14 Projections by grd (PCS)'!P40</f>
        <v>0</v>
      </c>
      <c r="Q40" s="264">
        <f>'[8]FY14 Projections by grd (PCS)'!Q40</f>
        <v>0</v>
      </c>
      <c r="R40" s="264">
        <f>'[8]FY14 Projections by grd (PCS)'!R40</f>
        <v>0</v>
      </c>
      <c r="S40" s="264">
        <f>'[8]FY14 Projections by grd (PCS)'!S40</f>
        <v>0</v>
      </c>
      <c r="T40" s="264">
        <f>'[8]FY14 Projections by grd (PCS)'!T40</f>
        <v>0</v>
      </c>
      <c r="U40" s="262">
        <f t="shared" si="1"/>
        <v>284</v>
      </c>
      <c r="W40" s="264"/>
      <c r="Y40" s="264" t="str">
        <f t="shared" si="0"/>
        <v>Enrollment ceiling increase required</v>
      </c>
    </row>
    <row r="41" spans="1:28">
      <c r="A41" s="264" t="s">
        <v>509</v>
      </c>
      <c r="B41" s="264">
        <f>'[8]FY14 Projections by grd (PCS)'!B41</f>
        <v>55</v>
      </c>
      <c r="C41" s="264">
        <f>'[8]FY14 Projections by grd (PCS)'!C41</f>
        <v>55</v>
      </c>
      <c r="D41" s="264">
        <f>'[8]FY14 Projections by grd (PCS)'!D41</f>
        <v>40</v>
      </c>
      <c r="E41" s="264">
        <f>'[8]FY14 Projections by grd (PCS)'!E41</f>
        <v>40</v>
      </c>
      <c r="F41" s="264">
        <f>'[8]FY14 Projections by grd (PCS)'!F41</f>
        <v>22</v>
      </c>
      <c r="G41" s="264">
        <f>'[8]FY14 Projections by grd (PCS)'!G41</f>
        <v>20</v>
      </c>
      <c r="H41" s="266">
        <f>'[8]FY14 Projections by grd (PCS)'!H41</f>
        <v>18</v>
      </c>
      <c r="I41" s="264">
        <f>'[8]FY14 Projections by grd (PCS)'!I41</f>
        <v>0</v>
      </c>
      <c r="J41" s="264">
        <f>'[8]FY14 Projections by grd (PCS)'!J41</f>
        <v>0</v>
      </c>
      <c r="K41" s="264">
        <f>'[8]FY14 Projections by grd (PCS)'!K41</f>
        <v>0</v>
      </c>
      <c r="L41" s="264">
        <f>'[8]FY14 Projections by grd (PCS)'!L41</f>
        <v>0</v>
      </c>
      <c r="M41" s="264">
        <f>'[8]FY14 Projections by grd (PCS)'!M41</f>
        <v>0</v>
      </c>
      <c r="N41" s="264">
        <f>'[8]FY14 Projections by grd (PCS)'!N41</f>
        <v>0</v>
      </c>
      <c r="O41" s="264">
        <f>'[8]FY14 Projections by grd (PCS)'!O41</f>
        <v>0</v>
      </c>
      <c r="P41" s="264">
        <f>'[8]FY14 Projections by grd (PCS)'!P41</f>
        <v>0</v>
      </c>
      <c r="Q41" s="264">
        <f>'[8]FY14 Projections by grd (PCS)'!Q41</f>
        <v>0</v>
      </c>
      <c r="R41" s="264">
        <f>'[8]FY14 Projections by grd (PCS)'!R41</f>
        <v>0</v>
      </c>
      <c r="S41" s="264">
        <f>'[8]FY14 Projections by grd (PCS)'!S41</f>
        <v>0</v>
      </c>
      <c r="T41" s="264">
        <f>'[8]FY14 Projections by grd (PCS)'!T41</f>
        <v>0</v>
      </c>
      <c r="U41" s="262">
        <f t="shared" si="1"/>
        <v>250</v>
      </c>
      <c r="W41" s="264">
        <v>430</v>
      </c>
      <c r="Y41" s="264" t="str">
        <f t="shared" si="0"/>
        <v>Enrollment ceiling increase not required</v>
      </c>
    </row>
    <row r="42" spans="1:28">
      <c r="A42" s="264" t="s">
        <v>597</v>
      </c>
      <c r="B42" s="264">
        <f>'[8]FY14 Projections by grd (PCS)'!B42</f>
        <v>0</v>
      </c>
      <c r="C42" s="264">
        <f>'[8]FY14 Projections by grd (PCS)'!C42</f>
        <v>0</v>
      </c>
      <c r="D42" s="264">
        <f>'[8]FY14 Projections by grd (PCS)'!D42</f>
        <v>0</v>
      </c>
      <c r="E42" s="264">
        <f>'[8]FY14 Projections by grd (PCS)'!E42</f>
        <v>0</v>
      </c>
      <c r="F42" s="264">
        <f>'[8]FY14 Projections by grd (PCS)'!F42</f>
        <v>0</v>
      </c>
      <c r="G42" s="264">
        <f>'[8]FY14 Projections by grd (PCS)'!G42</f>
        <v>0</v>
      </c>
      <c r="H42" s="264">
        <f>'[8]FY14 Projections by grd (PCS)'!H42</f>
        <v>75</v>
      </c>
      <c r="I42" s="264">
        <f>'[8]FY14 Projections by grd (PCS)'!I42</f>
        <v>50</v>
      </c>
      <c r="J42" s="264">
        <f>'[8]FY14 Projections by grd (PCS)'!J42</f>
        <v>100</v>
      </c>
      <c r="K42" s="264">
        <f>'[8]FY14 Projections by grd (PCS)'!K42</f>
        <v>100</v>
      </c>
      <c r="L42" s="264">
        <f>'[8]FY14 Projections by grd (PCS)'!L42</f>
        <v>100</v>
      </c>
      <c r="M42" s="264">
        <f>'[8]FY14 Projections by grd (PCS)'!M42</f>
        <v>0</v>
      </c>
      <c r="N42" s="264">
        <f>'[8]FY14 Projections by grd (PCS)'!N42</f>
        <v>0</v>
      </c>
      <c r="O42" s="264">
        <f>'[8]FY14 Projections by grd (PCS)'!O42</f>
        <v>0</v>
      </c>
      <c r="P42" s="264">
        <f>'[8]FY14 Projections by grd (PCS)'!P42</f>
        <v>0</v>
      </c>
      <c r="Q42" s="264">
        <f>'[8]FY14 Projections by grd (PCS)'!Q42</f>
        <v>0</v>
      </c>
      <c r="R42" s="264">
        <f>'[8]FY14 Projections by grd (PCS)'!R42</f>
        <v>0</v>
      </c>
      <c r="S42" s="264">
        <f>'[8]FY14 Projections by grd (PCS)'!S42</f>
        <v>0</v>
      </c>
      <c r="T42" s="264">
        <f>'[8]FY14 Projections by grd (PCS)'!T42</f>
        <v>0</v>
      </c>
      <c r="U42" s="262">
        <f>SUM(B42:T42)+U43</f>
        <v>1049</v>
      </c>
      <c r="W42" s="264">
        <v>1100</v>
      </c>
      <c r="Y42" s="264" t="str">
        <f t="shared" si="0"/>
        <v>Enrollment ceiling increase not required</v>
      </c>
    </row>
    <row r="43" spans="1:28" hidden="1">
      <c r="A43" s="264" t="s">
        <v>513</v>
      </c>
      <c r="B43" s="264">
        <f>'[8]FY14 Projections by grd (PCS)'!B43</f>
        <v>42</v>
      </c>
      <c r="C43" s="264">
        <f>'[8]FY14 Projections by grd (PCS)'!C43</f>
        <v>42</v>
      </c>
      <c r="D43" s="264">
        <f>'[8]FY14 Projections by grd (PCS)'!D43</f>
        <v>46</v>
      </c>
      <c r="E43" s="264">
        <f>'[8]FY14 Projections by grd (PCS)'!E43</f>
        <v>50</v>
      </c>
      <c r="F43" s="264">
        <f>'[8]FY14 Projections by grd (PCS)'!F43</f>
        <v>50</v>
      </c>
      <c r="G43" s="264">
        <f>'[8]FY14 Projections by grd (PCS)'!G43</f>
        <v>75</v>
      </c>
      <c r="H43" s="264">
        <f>'[8]FY14 Projections by grd (PCS)'!H43</f>
        <v>0</v>
      </c>
      <c r="I43" s="264">
        <f>'[8]FY14 Projections by grd (PCS)'!I43</f>
        <v>0</v>
      </c>
      <c r="J43" s="264">
        <f>'[8]FY14 Projections by grd (PCS)'!J43</f>
        <v>0</v>
      </c>
      <c r="K43" s="264">
        <f>'[8]FY14 Projections by grd (PCS)'!K43</f>
        <v>0</v>
      </c>
      <c r="L43" s="264">
        <f>'[8]FY14 Projections by grd (PCS)'!L43</f>
        <v>0</v>
      </c>
      <c r="M43" s="264">
        <f>'[8]FY14 Projections by grd (PCS)'!M43</f>
        <v>131</v>
      </c>
      <c r="N43" s="264">
        <f>'[8]FY14 Projections by grd (PCS)'!N43</f>
        <v>100</v>
      </c>
      <c r="O43" s="266">
        <f>'[8]FY14 Projections by grd (PCS)'!O43</f>
        <v>88</v>
      </c>
      <c r="P43" s="264">
        <f>'[8]FY14 Projections by grd (PCS)'!P43</f>
        <v>0</v>
      </c>
      <c r="Q43" s="264">
        <f>'[8]FY14 Projections by grd (PCS)'!Q43</f>
        <v>0</v>
      </c>
      <c r="R43" s="264">
        <f>'[8]FY14 Projections by grd (PCS)'!R43</f>
        <v>0</v>
      </c>
      <c r="S43" s="264">
        <f>'[8]FY14 Projections by grd (PCS)'!S43</f>
        <v>0</v>
      </c>
      <c r="T43" s="264">
        <f>'[8]FY14 Projections by grd (PCS)'!T43</f>
        <v>0</v>
      </c>
      <c r="U43" s="262">
        <f t="shared" si="1"/>
        <v>624</v>
      </c>
      <c r="W43" s="264"/>
      <c r="Y43" s="264" t="str">
        <f t="shared" si="0"/>
        <v>Enrollment ceiling increase required</v>
      </c>
    </row>
    <row r="44" spans="1:28">
      <c r="A44" s="264" t="s">
        <v>598</v>
      </c>
      <c r="B44" s="264">
        <f>'[8]FY14 Projections by grd (PCS)'!B44</f>
        <v>112</v>
      </c>
      <c r="C44" s="264">
        <f>'[8]FY14 Projections by grd (PCS)'!C44</f>
        <v>144</v>
      </c>
      <c r="D44" s="264">
        <f>'[8]FY14 Projections by grd (PCS)'!D44</f>
        <v>140</v>
      </c>
      <c r="E44" s="264">
        <f>'[8]FY14 Projections by grd (PCS)'!E44</f>
        <v>140</v>
      </c>
      <c r="F44" s="264">
        <f>'[8]FY14 Projections by grd (PCS)'!F44</f>
        <v>86</v>
      </c>
      <c r="G44" s="264">
        <f>'[8]FY14 Projections by grd (PCS)'!G44</f>
        <v>53</v>
      </c>
      <c r="H44" s="264">
        <f>'[8]FY14 Projections by grd (PCS)'!H44</f>
        <v>0</v>
      </c>
      <c r="I44" s="264">
        <f>'[8]FY14 Projections by grd (PCS)'!I44</f>
        <v>0</v>
      </c>
      <c r="J44" s="264">
        <f>'[8]FY14 Projections by grd (PCS)'!J44</f>
        <v>0</v>
      </c>
      <c r="K44" s="264">
        <f>'[8]FY14 Projections by grd (PCS)'!K44</f>
        <v>0</v>
      </c>
      <c r="L44" s="264">
        <f>'[8]FY14 Projections by grd (PCS)'!L44</f>
        <v>0</v>
      </c>
      <c r="M44" s="264">
        <f>'[8]FY14 Projections by grd (PCS)'!M44</f>
        <v>0</v>
      </c>
      <c r="N44" s="264">
        <f>'[8]FY14 Projections by grd (PCS)'!N44</f>
        <v>0</v>
      </c>
      <c r="O44" s="264">
        <f>'[8]FY14 Projections by grd (PCS)'!O44</f>
        <v>0</v>
      </c>
      <c r="P44" s="264">
        <f>'[8]FY14 Projections by grd (PCS)'!P44</f>
        <v>0</v>
      </c>
      <c r="Q44" s="264">
        <f>'[8]FY14 Projections by grd (PCS)'!Q44</f>
        <v>0</v>
      </c>
      <c r="R44" s="264">
        <f>'[8]FY14 Projections by grd (PCS)'!R44</f>
        <v>0</v>
      </c>
      <c r="S44" s="264">
        <f>'[8]FY14 Projections by grd (PCS)'!S44</f>
        <v>0</v>
      </c>
      <c r="T44" s="264">
        <f>'[8]FY14 Projections by grd (PCS)'!T44</f>
        <v>0</v>
      </c>
      <c r="U44" s="262">
        <f>SUM(B44:T44)+U45</f>
        <v>839</v>
      </c>
      <c r="W44" s="264">
        <v>780</v>
      </c>
      <c r="Y44" s="264" t="str">
        <f t="shared" si="0"/>
        <v>Enrollment ceiling increase required</v>
      </c>
      <c r="AB44" s="264" t="s">
        <v>607</v>
      </c>
    </row>
    <row r="45" spans="1:28" hidden="1">
      <c r="A45" s="264" t="s">
        <v>515</v>
      </c>
      <c r="B45" s="264">
        <f>'[8]FY14 Projections by grd (PCS)'!B45</f>
        <v>32</v>
      </c>
      <c r="C45" s="264">
        <f>'[8]FY14 Projections by grd (PCS)'!C45</f>
        <v>32</v>
      </c>
      <c r="D45" s="264">
        <f>'[8]FY14 Projections by grd (PCS)'!D45</f>
        <v>40</v>
      </c>
      <c r="E45" s="264">
        <f>'[8]FY14 Projections by grd (PCS)'!E45</f>
        <v>40</v>
      </c>
      <c r="F45" s="264">
        <f>'[8]FY14 Projections by grd (PCS)'!F45</f>
        <v>20</v>
      </c>
      <c r="G45" s="264">
        <f>'[8]FY14 Projections by grd (PCS)'!G45</f>
        <v>0</v>
      </c>
      <c r="H45" s="264">
        <f>'[8]FY14 Projections by grd (PCS)'!H45</f>
        <v>0</v>
      </c>
      <c r="I45" s="264">
        <f>'[8]FY14 Projections by grd (PCS)'!I45</f>
        <v>0</v>
      </c>
      <c r="J45" s="264">
        <f>'[8]FY14 Projections by grd (PCS)'!J45</f>
        <v>0</v>
      </c>
      <c r="K45" s="264">
        <f>'[8]FY14 Projections by grd (PCS)'!K45</f>
        <v>0</v>
      </c>
      <c r="L45" s="264">
        <f>'[8]FY14 Projections by grd (PCS)'!L45</f>
        <v>0</v>
      </c>
      <c r="M45" s="264">
        <f>'[8]FY14 Projections by grd (PCS)'!M45</f>
        <v>0</v>
      </c>
      <c r="N45" s="264">
        <f>'[8]FY14 Projections by grd (PCS)'!N45</f>
        <v>0</v>
      </c>
      <c r="O45" s="264">
        <f>'[8]FY14 Projections by grd (PCS)'!O45</f>
        <v>0</v>
      </c>
      <c r="P45" s="264">
        <f>'[8]FY14 Projections by grd (PCS)'!P45</f>
        <v>0</v>
      </c>
      <c r="Q45" s="264">
        <f>'[8]FY14 Projections by grd (PCS)'!Q45</f>
        <v>0</v>
      </c>
      <c r="R45" s="264">
        <f>'[8]FY14 Projections by grd (PCS)'!R45</f>
        <v>0</v>
      </c>
      <c r="S45" s="264">
        <f>'[8]FY14 Projections by grd (PCS)'!S45</f>
        <v>0</v>
      </c>
      <c r="T45" s="264">
        <f>'[8]FY14 Projections by grd (PCS)'!T45</f>
        <v>0</v>
      </c>
      <c r="U45" s="262">
        <f t="shared" si="1"/>
        <v>164</v>
      </c>
      <c r="W45" s="264"/>
      <c r="Y45" s="264" t="str">
        <f t="shared" si="0"/>
        <v>Enrollment ceiling increase required</v>
      </c>
    </row>
    <row r="46" spans="1:28">
      <c r="A46" s="264" t="s">
        <v>306</v>
      </c>
      <c r="B46" s="264">
        <f>'[8]FY14 Projections by grd (PCS)'!B46</f>
        <v>13</v>
      </c>
      <c r="C46" s="264">
        <f>'[8]FY14 Projections by grd (PCS)'!C46</f>
        <v>24</v>
      </c>
      <c r="D46" s="264">
        <f>'[8]FY14 Projections by grd (PCS)'!D46</f>
        <v>22</v>
      </c>
      <c r="E46" s="264">
        <f>'[8]FY14 Projections by grd (PCS)'!E46</f>
        <v>42</v>
      </c>
      <c r="F46" s="264">
        <f>'[8]FY14 Projections by grd (PCS)'!F46</f>
        <v>36</v>
      </c>
      <c r="G46" s="264">
        <f>'[8]FY14 Projections by grd (PCS)'!G46</f>
        <v>0</v>
      </c>
      <c r="H46" s="264">
        <f>'[8]FY14 Projections by grd (PCS)'!H46</f>
        <v>0</v>
      </c>
      <c r="I46" s="264">
        <f>'[8]FY14 Projections by grd (PCS)'!I46</f>
        <v>0</v>
      </c>
      <c r="J46" s="264">
        <f>'[8]FY14 Projections by grd (PCS)'!J46</f>
        <v>0</v>
      </c>
      <c r="K46" s="264">
        <f>'[8]FY14 Projections by grd (PCS)'!K46</f>
        <v>0</v>
      </c>
      <c r="L46" s="264">
        <f>'[8]FY14 Projections by grd (PCS)'!L46</f>
        <v>0</v>
      </c>
      <c r="M46" s="264">
        <f>'[8]FY14 Projections by grd (PCS)'!M46</f>
        <v>0</v>
      </c>
      <c r="N46" s="264">
        <f>'[8]FY14 Projections by grd (PCS)'!N46</f>
        <v>0</v>
      </c>
      <c r="O46" s="264">
        <f>'[8]FY14 Projections by grd (PCS)'!O46</f>
        <v>0</v>
      </c>
      <c r="P46" s="264">
        <f>'[8]FY14 Projections by grd (PCS)'!P46</f>
        <v>0</v>
      </c>
      <c r="Q46" s="264">
        <f>'[8]FY14 Projections by grd (PCS)'!Q46</f>
        <v>0</v>
      </c>
      <c r="R46" s="264">
        <f>'[8]FY14 Projections by grd (PCS)'!R46</f>
        <v>0</v>
      </c>
      <c r="S46" s="264">
        <f>'[8]FY14 Projections by grd (PCS)'!S46</f>
        <v>0</v>
      </c>
      <c r="T46" s="264">
        <f>'[8]FY14 Projections by grd (PCS)'!T46</f>
        <v>0</v>
      </c>
      <c r="U46" s="262">
        <f>SUM(B46:T46)+U47</f>
        <v>249</v>
      </c>
      <c r="W46" s="264">
        <v>330</v>
      </c>
      <c r="Y46" s="264" t="str">
        <f t="shared" si="0"/>
        <v>Enrollment ceiling increase not required</v>
      </c>
    </row>
    <row r="47" spans="1:28" hidden="1">
      <c r="A47" s="264" t="s">
        <v>517</v>
      </c>
      <c r="B47" s="264">
        <f>'[8]FY14 Projections by grd (PCS)'!B47</f>
        <v>26</v>
      </c>
      <c r="C47" s="264">
        <f>'[8]FY14 Projections by grd (PCS)'!C47</f>
        <v>24</v>
      </c>
      <c r="D47" s="264">
        <f>'[8]FY14 Projections by grd (PCS)'!D47</f>
        <v>22</v>
      </c>
      <c r="E47" s="264">
        <f>'[8]FY14 Projections by grd (PCS)'!E47</f>
        <v>0</v>
      </c>
      <c r="F47" s="264">
        <f>'[8]FY14 Projections by grd (PCS)'!F47</f>
        <v>0</v>
      </c>
      <c r="G47" s="264">
        <f>'[8]FY14 Projections by grd (PCS)'!G47</f>
        <v>40</v>
      </c>
      <c r="H47" s="264">
        <f>'[8]FY14 Projections by grd (PCS)'!H47</f>
        <v>0</v>
      </c>
      <c r="I47" s="264">
        <f>'[8]FY14 Projections by grd (PCS)'!I47</f>
        <v>0</v>
      </c>
      <c r="J47" s="264">
        <f>'[8]FY14 Projections by grd (PCS)'!J47</f>
        <v>0</v>
      </c>
      <c r="K47" s="264">
        <f>'[8]FY14 Projections by grd (PCS)'!K47</f>
        <v>0</v>
      </c>
      <c r="L47" s="264">
        <f>'[8]FY14 Projections by grd (PCS)'!L47</f>
        <v>0</v>
      </c>
      <c r="M47" s="264">
        <f>'[8]FY14 Projections by grd (PCS)'!M47</f>
        <v>0</v>
      </c>
      <c r="N47" s="264">
        <f>'[8]FY14 Projections by grd (PCS)'!N47</f>
        <v>0</v>
      </c>
      <c r="O47" s="264">
        <f>'[8]FY14 Projections by grd (PCS)'!O47</f>
        <v>0</v>
      </c>
      <c r="P47" s="264">
        <f>'[8]FY14 Projections by grd (PCS)'!P47</f>
        <v>0</v>
      </c>
      <c r="Q47" s="264">
        <f>'[8]FY14 Projections by grd (PCS)'!Q47</f>
        <v>0</v>
      </c>
      <c r="R47" s="264">
        <f>'[8]FY14 Projections by grd (PCS)'!R47</f>
        <v>0</v>
      </c>
      <c r="S47" s="264">
        <f>'[8]FY14 Projections by grd (PCS)'!S47</f>
        <v>0</v>
      </c>
      <c r="T47" s="264">
        <f>'[8]FY14 Projections by grd (PCS)'!T47</f>
        <v>0</v>
      </c>
      <c r="U47" s="262">
        <f t="shared" si="1"/>
        <v>112</v>
      </c>
      <c r="W47" s="264"/>
      <c r="Y47" s="264" t="str">
        <f t="shared" si="0"/>
        <v>Enrollment ceiling increase required</v>
      </c>
    </row>
    <row r="48" spans="1:28">
      <c r="A48" s="264" t="s">
        <v>518</v>
      </c>
      <c r="B48" s="264">
        <f>'[8]FY14 Projections by grd (PCS)'!B48</f>
        <v>34</v>
      </c>
      <c r="C48" s="264">
        <f>'[8]FY14 Projections by grd (PCS)'!C48</f>
        <v>11</v>
      </c>
      <c r="D48" s="264">
        <f>'[8]FY14 Projections by grd (PCS)'!D48</f>
        <v>0</v>
      </c>
      <c r="E48" s="264">
        <f>'[8]FY14 Projections by grd (PCS)'!E48</f>
        <v>0</v>
      </c>
      <c r="F48" s="264">
        <f>'[8]FY14 Projections by grd (PCS)'!F48</f>
        <v>0</v>
      </c>
      <c r="G48" s="264">
        <f>'[8]FY14 Projections by grd (PCS)'!G48</f>
        <v>0</v>
      </c>
      <c r="H48" s="264">
        <f>'[8]FY14 Projections by grd (PCS)'!H48</f>
        <v>0</v>
      </c>
      <c r="I48" s="264">
        <f>'[8]FY14 Projections by grd (PCS)'!I48</f>
        <v>0</v>
      </c>
      <c r="J48" s="264">
        <f>'[8]FY14 Projections by grd (PCS)'!J48</f>
        <v>0</v>
      </c>
      <c r="K48" s="264">
        <f>'[8]FY14 Projections by grd (PCS)'!K48</f>
        <v>0</v>
      </c>
      <c r="L48" s="264">
        <f>'[8]FY14 Projections by grd (PCS)'!L48</f>
        <v>0</v>
      </c>
      <c r="M48" s="264">
        <f>'[8]FY14 Projections by grd (PCS)'!M48</f>
        <v>0</v>
      </c>
      <c r="N48" s="264">
        <f>'[8]FY14 Projections by grd (PCS)'!N48</f>
        <v>0</v>
      </c>
      <c r="O48" s="264">
        <f>'[8]FY14 Projections by grd (PCS)'!O48</f>
        <v>0</v>
      </c>
      <c r="P48" s="264">
        <f>'[8]FY14 Projections by grd (PCS)'!P48</f>
        <v>0</v>
      </c>
      <c r="Q48" s="264">
        <f>'[8]FY14 Projections by grd (PCS)'!Q48</f>
        <v>0</v>
      </c>
      <c r="R48" s="264">
        <f>'[8]FY14 Projections by grd (PCS)'!R48</f>
        <v>0</v>
      </c>
      <c r="S48" s="264">
        <f>'[8]FY14 Projections by grd (PCS)'!S48</f>
        <v>416</v>
      </c>
      <c r="T48" s="264">
        <f>'[8]FY14 Projections by grd (PCS)'!T48</f>
        <v>0</v>
      </c>
      <c r="U48" s="262">
        <f t="shared" si="1"/>
        <v>461</v>
      </c>
      <c r="W48" s="264">
        <v>461</v>
      </c>
      <c r="Y48" s="264" t="str">
        <f t="shared" si="0"/>
        <v>Enrollment ceiling increase not required</v>
      </c>
    </row>
    <row r="49" spans="1:25">
      <c r="A49" s="264" t="s">
        <v>519</v>
      </c>
      <c r="B49" s="264">
        <f>'[8]FY14 Projections by grd (PCS)'!B49</f>
        <v>24</v>
      </c>
      <c r="C49" s="264">
        <f>'[8]FY14 Projections by grd (PCS)'!C49</f>
        <v>24</v>
      </c>
      <c r="D49" s="264">
        <f>'[8]FY14 Projections by grd (PCS)'!D49</f>
        <v>48</v>
      </c>
      <c r="E49" s="264">
        <f>'[8]FY14 Projections by grd (PCS)'!E49</f>
        <v>48</v>
      </c>
      <c r="F49" s="264">
        <f>'[8]FY14 Projections by grd (PCS)'!F49</f>
        <v>48</v>
      </c>
      <c r="G49" s="264">
        <f>'[8]FY14 Projections by grd (PCS)'!G49</f>
        <v>48</v>
      </c>
      <c r="H49" s="264">
        <f>'[8]FY14 Projections by grd (PCS)'!H49</f>
        <v>40</v>
      </c>
      <c r="I49" s="264">
        <f>'[8]FY14 Projections by grd (PCS)'!I49</f>
        <v>40</v>
      </c>
      <c r="J49" s="264">
        <f>'[8]FY14 Projections by grd (PCS)'!J49</f>
        <v>30</v>
      </c>
      <c r="K49" s="264">
        <f>'[8]FY14 Projections by grd (PCS)'!K49</f>
        <v>0</v>
      </c>
      <c r="L49" s="264">
        <f>'[8]FY14 Projections by grd (PCS)'!L49</f>
        <v>0</v>
      </c>
      <c r="M49" s="264">
        <f>'[8]FY14 Projections by grd (PCS)'!M49</f>
        <v>0</v>
      </c>
      <c r="N49" s="264">
        <f>'[8]FY14 Projections by grd (PCS)'!N49</f>
        <v>0</v>
      </c>
      <c r="O49" s="264">
        <f>'[8]FY14 Projections by grd (PCS)'!O49</f>
        <v>0</v>
      </c>
      <c r="P49" s="264">
        <f>'[8]FY14 Projections by grd (PCS)'!P49</f>
        <v>0</v>
      </c>
      <c r="Q49" s="264">
        <f>'[8]FY14 Projections by grd (PCS)'!Q49</f>
        <v>0</v>
      </c>
      <c r="R49" s="264">
        <f>'[8]FY14 Projections by grd (PCS)'!R49</f>
        <v>0</v>
      </c>
      <c r="S49" s="264">
        <f>'[8]FY14 Projections by grd (PCS)'!S49</f>
        <v>0</v>
      </c>
      <c r="T49" s="264">
        <f>'[8]FY14 Projections by grd (PCS)'!T49</f>
        <v>0</v>
      </c>
      <c r="U49" s="262">
        <f t="shared" si="1"/>
        <v>350</v>
      </c>
      <c r="W49" s="264">
        <v>350</v>
      </c>
      <c r="Y49" s="264" t="str">
        <f t="shared" si="0"/>
        <v>Enrollment ceiling increase not required</v>
      </c>
    </row>
    <row r="50" spans="1:25">
      <c r="A50" s="264" t="s">
        <v>318</v>
      </c>
      <c r="B50" s="264">
        <f>'[8]FY14 Projections by grd (PCS)'!B50</f>
        <v>100</v>
      </c>
      <c r="C50" s="264">
        <f>'[8]FY14 Projections by grd (PCS)'!C50</f>
        <v>120</v>
      </c>
      <c r="D50" s="264">
        <f>'[8]FY14 Projections by grd (PCS)'!D50</f>
        <v>90</v>
      </c>
      <c r="E50" s="264">
        <f>'[8]FY14 Projections by grd (PCS)'!E50</f>
        <v>90</v>
      </c>
      <c r="F50" s="264">
        <f>'[8]FY14 Projections by grd (PCS)'!F50</f>
        <v>80</v>
      </c>
      <c r="G50" s="264">
        <f>'[8]FY14 Projections by grd (PCS)'!G50</f>
        <v>70</v>
      </c>
      <c r="H50" s="264">
        <f>'[8]FY14 Projections by grd (PCS)'!H50</f>
        <v>50</v>
      </c>
      <c r="I50" s="266">
        <f>'[8]FY14 Projections by grd (PCS)'!I50</f>
        <v>50</v>
      </c>
      <c r="J50" s="264">
        <f>'[8]FY14 Projections by grd (PCS)'!J50</f>
        <v>0</v>
      </c>
      <c r="K50" s="264">
        <f>'[8]FY14 Projections by grd (PCS)'!K50</f>
        <v>0</v>
      </c>
      <c r="L50" s="264">
        <f>'[8]FY14 Projections by grd (PCS)'!L50</f>
        <v>0</v>
      </c>
      <c r="M50" s="264">
        <f>'[8]FY14 Projections by grd (PCS)'!M50</f>
        <v>0</v>
      </c>
      <c r="N50" s="264">
        <f>'[8]FY14 Projections by grd (PCS)'!N50</f>
        <v>0</v>
      </c>
      <c r="O50" s="264">
        <f>'[8]FY14 Projections by grd (PCS)'!O50</f>
        <v>0</v>
      </c>
      <c r="P50" s="264">
        <f>'[8]FY14 Projections by grd (PCS)'!P50</f>
        <v>0</v>
      </c>
      <c r="Q50" s="264">
        <f>'[8]FY14 Projections by grd (PCS)'!Q50</f>
        <v>0</v>
      </c>
      <c r="R50" s="264">
        <f>'[8]FY14 Projections by grd (PCS)'!R50</f>
        <v>0</v>
      </c>
      <c r="S50" s="264">
        <f>'[8]FY14 Projections by grd (PCS)'!S50</f>
        <v>0</v>
      </c>
      <c r="T50" s="264">
        <f>'[8]FY14 Projections by grd (PCS)'!T50</f>
        <v>0</v>
      </c>
      <c r="U50" s="262">
        <f t="shared" si="1"/>
        <v>650</v>
      </c>
      <c r="W50" s="264">
        <v>650</v>
      </c>
      <c r="Y50" s="264" t="str">
        <f t="shared" si="0"/>
        <v>Enrollment ceiling increase not required</v>
      </c>
    </row>
    <row r="51" spans="1:25">
      <c r="A51" s="264" t="s">
        <v>599</v>
      </c>
      <c r="B51" s="264">
        <f>'[8]FY14 Projections by grd (PCS)'!B51</f>
        <v>68</v>
      </c>
      <c r="C51" s="264">
        <f>'[8]FY14 Projections by grd (PCS)'!C51</f>
        <v>72</v>
      </c>
      <c r="D51" s="264">
        <f>'[8]FY14 Projections by grd (PCS)'!D51</f>
        <v>80</v>
      </c>
      <c r="E51" s="264">
        <f>'[8]FY14 Projections by grd (PCS)'!E51</f>
        <v>100</v>
      </c>
      <c r="F51" s="264">
        <f>'[8]FY14 Projections by grd (PCS)'!F51</f>
        <v>75</v>
      </c>
      <c r="G51" s="264">
        <f>'[8]FY14 Projections by grd (PCS)'!G51</f>
        <v>50</v>
      </c>
      <c r="H51" s="264">
        <f>'[8]FY14 Projections by grd (PCS)'!H51</f>
        <v>25</v>
      </c>
      <c r="I51" s="264">
        <f>'[8]FY14 Projections by grd (PCS)'!I51</f>
        <v>25</v>
      </c>
      <c r="J51" s="264">
        <f>'[8]FY14 Projections by grd (PCS)'!J51</f>
        <v>27</v>
      </c>
      <c r="K51" s="264">
        <f>'[8]FY14 Projections by grd (PCS)'!K51</f>
        <v>81</v>
      </c>
      <c r="L51" s="264">
        <f>'[8]FY14 Projections by grd (PCS)'!L51</f>
        <v>81</v>
      </c>
      <c r="M51" s="264">
        <f>'[8]FY14 Projections by grd (PCS)'!M51</f>
        <v>0</v>
      </c>
      <c r="N51" s="264">
        <f>'[8]FY14 Projections by grd (PCS)'!N51</f>
        <v>0</v>
      </c>
      <c r="O51" s="264">
        <f>'[8]FY14 Projections by grd (PCS)'!O51</f>
        <v>0</v>
      </c>
      <c r="P51" s="264">
        <f>'[8]FY14 Projections by grd (PCS)'!P51</f>
        <v>0</v>
      </c>
      <c r="Q51" s="264">
        <f>'[8]FY14 Projections by grd (PCS)'!Q51</f>
        <v>0</v>
      </c>
      <c r="R51" s="264">
        <f>'[8]FY14 Projections by grd (PCS)'!R51</f>
        <v>0</v>
      </c>
      <c r="S51" s="264">
        <f>'[8]FY14 Projections by grd (PCS)'!S51</f>
        <v>0</v>
      </c>
      <c r="T51" s="264">
        <f>'[8]FY14 Projections by grd (PCS)'!T51</f>
        <v>0</v>
      </c>
      <c r="U51" s="262">
        <f>SUM(B51:T51)+SUM(U52:U56)</f>
        <v>4122</v>
      </c>
      <c r="W51" s="264">
        <v>4727</v>
      </c>
      <c r="Y51" s="264" t="str">
        <f t="shared" si="0"/>
        <v>Enrollment ceiling increase not required</v>
      </c>
    </row>
    <row r="52" spans="1:25" hidden="1">
      <c r="A52" s="264" t="s">
        <v>523</v>
      </c>
      <c r="B52" s="264">
        <f>'[8]FY14 Projections by grd (PCS)'!B52</f>
        <v>51</v>
      </c>
      <c r="C52" s="264">
        <f>'[8]FY14 Projections by grd (PCS)'!C52</f>
        <v>54</v>
      </c>
      <c r="D52" s="264">
        <f>'[8]FY14 Projections by grd (PCS)'!D52</f>
        <v>60</v>
      </c>
      <c r="E52" s="264">
        <f>'[8]FY14 Projections by grd (PCS)'!E52</f>
        <v>75</v>
      </c>
      <c r="F52" s="264">
        <f>'[8]FY14 Projections by grd (PCS)'!F52</f>
        <v>75</v>
      </c>
      <c r="G52" s="264">
        <f>'[8]FY14 Projections by grd (PCS)'!G52</f>
        <v>75</v>
      </c>
      <c r="H52" s="264">
        <f>'[8]FY14 Projections by grd (PCS)'!H52</f>
        <v>75</v>
      </c>
      <c r="I52" s="264">
        <f>'[8]FY14 Projections by grd (PCS)'!I52</f>
        <v>75</v>
      </c>
      <c r="J52" s="264">
        <f>'[8]FY14 Projections by grd (PCS)'!J52</f>
        <v>81</v>
      </c>
      <c r="K52" s="264">
        <f>'[8]FY14 Projections by grd (PCS)'!K52</f>
        <v>81</v>
      </c>
      <c r="L52" s="264">
        <f>'[8]FY14 Projections by grd (PCS)'!L52</f>
        <v>81</v>
      </c>
      <c r="M52" s="264">
        <f>'[8]FY14 Projections by grd (PCS)'!M52</f>
        <v>0</v>
      </c>
      <c r="N52" s="264">
        <f>'[8]FY14 Projections by grd (PCS)'!N52</f>
        <v>0</v>
      </c>
      <c r="O52" s="264">
        <f>'[8]FY14 Projections by grd (PCS)'!O52</f>
        <v>0</v>
      </c>
      <c r="P52" s="264">
        <f>'[8]FY14 Projections by grd (PCS)'!P52</f>
        <v>0</v>
      </c>
      <c r="Q52" s="264">
        <f>'[8]FY14 Projections by grd (PCS)'!Q52</f>
        <v>0</v>
      </c>
      <c r="R52" s="264">
        <f>'[8]FY14 Projections by grd (PCS)'!R52</f>
        <v>0</v>
      </c>
      <c r="S52" s="264">
        <f>'[8]FY14 Projections by grd (PCS)'!S52</f>
        <v>0</v>
      </c>
      <c r="T52" s="264">
        <f>'[8]FY14 Projections by grd (PCS)'!T52</f>
        <v>0</v>
      </c>
      <c r="U52" s="262">
        <f t="shared" si="1"/>
        <v>783</v>
      </c>
      <c r="W52" s="264"/>
      <c r="Y52" s="264" t="str">
        <f t="shared" si="0"/>
        <v>Enrollment ceiling increase required</v>
      </c>
    </row>
    <row r="53" spans="1:25" hidden="1">
      <c r="A53" s="264" t="s">
        <v>524</v>
      </c>
      <c r="B53" s="264">
        <f>'[8]FY14 Projections by grd (PCS)'!B53</f>
        <v>0</v>
      </c>
      <c r="C53" s="264">
        <f>'[8]FY14 Projections by grd (PCS)'!C53</f>
        <v>0</v>
      </c>
      <c r="D53" s="264">
        <f>'[8]FY14 Projections by grd (PCS)'!D53</f>
        <v>0</v>
      </c>
      <c r="E53" s="264">
        <f>'[8]FY14 Projections by grd (PCS)'!E53</f>
        <v>0</v>
      </c>
      <c r="F53" s="264">
        <f>'[8]FY14 Projections by grd (PCS)'!F53</f>
        <v>0</v>
      </c>
      <c r="G53" s="264">
        <f>'[8]FY14 Projections by grd (PCS)'!G53</f>
        <v>0</v>
      </c>
      <c r="H53" s="264">
        <f>'[8]FY14 Projections by grd (PCS)'!H53</f>
        <v>0</v>
      </c>
      <c r="I53" s="264">
        <f>'[8]FY14 Projections by grd (PCS)'!I53</f>
        <v>0</v>
      </c>
      <c r="J53" s="264">
        <f>'[8]FY14 Projections by grd (PCS)'!J53</f>
        <v>0</v>
      </c>
      <c r="K53" s="264">
        <f>'[8]FY14 Projections by grd (PCS)'!K53</f>
        <v>0</v>
      </c>
      <c r="L53" s="264">
        <f>'[8]FY14 Projections by grd (PCS)'!L53</f>
        <v>0</v>
      </c>
      <c r="M53" s="264">
        <f>'[8]FY14 Projections by grd (PCS)'!M53</f>
        <v>350</v>
      </c>
      <c r="N53" s="264">
        <f>'[8]FY14 Projections by grd (PCS)'!N53</f>
        <v>300</v>
      </c>
      <c r="O53" s="264">
        <f>'[8]FY14 Projections by grd (PCS)'!O53</f>
        <v>300</v>
      </c>
      <c r="P53" s="264">
        <f>'[8]FY14 Projections by grd (PCS)'!P53</f>
        <v>275</v>
      </c>
      <c r="Q53" s="264">
        <f>'[8]FY14 Projections by grd (PCS)'!Q53</f>
        <v>0</v>
      </c>
      <c r="R53" s="264">
        <f>'[8]FY14 Projections by grd (PCS)'!R53</f>
        <v>0</v>
      </c>
      <c r="S53" s="264">
        <f>'[8]FY14 Projections by grd (PCS)'!S53</f>
        <v>0</v>
      </c>
      <c r="T53" s="264">
        <f>'[8]FY14 Projections by grd (PCS)'!T53</f>
        <v>0</v>
      </c>
      <c r="U53" s="262">
        <f>SUM(B53:T53)</f>
        <v>1225</v>
      </c>
      <c r="W53" s="264"/>
      <c r="Y53" s="264" t="str">
        <f t="shared" si="0"/>
        <v>Enrollment ceiling increase required</v>
      </c>
    </row>
    <row r="54" spans="1:25" hidden="1">
      <c r="A54" s="264" t="s">
        <v>525</v>
      </c>
      <c r="B54" s="264">
        <f>'[8]FY14 Projections by grd (PCS)'!B54</f>
        <v>51</v>
      </c>
      <c r="C54" s="264">
        <f>'[8]FY14 Projections by grd (PCS)'!C54</f>
        <v>54</v>
      </c>
      <c r="D54" s="264">
        <f>'[8]FY14 Projections by grd (PCS)'!D54</f>
        <v>80</v>
      </c>
      <c r="E54" s="264">
        <f>'[8]FY14 Projections by grd (PCS)'!E54</f>
        <v>75</v>
      </c>
      <c r="F54" s="264">
        <f>'[8]FY14 Projections by grd (PCS)'!F54</f>
        <v>75</v>
      </c>
      <c r="G54" s="264">
        <f>'[8]FY14 Projections by grd (PCS)'!G54</f>
        <v>75</v>
      </c>
      <c r="H54" s="264">
        <f>'[8]FY14 Projections by grd (PCS)'!H54</f>
        <v>75</v>
      </c>
      <c r="I54" s="264">
        <f>'[8]FY14 Projections by grd (PCS)'!I54</f>
        <v>75</v>
      </c>
      <c r="J54" s="264">
        <f>'[8]FY14 Projections by grd (PCS)'!J54</f>
        <v>0</v>
      </c>
      <c r="K54" s="264">
        <f>'[8]FY14 Projections by grd (PCS)'!K54</f>
        <v>0</v>
      </c>
      <c r="L54" s="264">
        <f>'[8]FY14 Projections by grd (PCS)'!L54</f>
        <v>0</v>
      </c>
      <c r="M54" s="264">
        <f>'[8]FY14 Projections by grd (PCS)'!M54</f>
        <v>0</v>
      </c>
      <c r="N54" s="264">
        <f>'[8]FY14 Projections by grd (PCS)'!N54</f>
        <v>0</v>
      </c>
      <c r="O54" s="264">
        <f>'[8]FY14 Projections by grd (PCS)'!O54</f>
        <v>0</v>
      </c>
      <c r="P54" s="264">
        <f>'[8]FY14 Projections by grd (PCS)'!P54</f>
        <v>0</v>
      </c>
      <c r="Q54" s="264">
        <f>'[8]FY14 Projections by grd (PCS)'!Q54</f>
        <v>0</v>
      </c>
      <c r="R54" s="264">
        <f>'[8]FY14 Projections by grd (PCS)'!R54</f>
        <v>0</v>
      </c>
      <c r="S54" s="264">
        <f>'[8]FY14 Projections by grd (PCS)'!S54</f>
        <v>0</v>
      </c>
      <c r="T54" s="264">
        <f>'[8]FY14 Projections by grd (PCS)'!T54</f>
        <v>0</v>
      </c>
      <c r="U54" s="262">
        <f t="shared" si="1"/>
        <v>560</v>
      </c>
      <c r="W54" s="264"/>
      <c r="Y54" s="264" t="str">
        <f t="shared" si="0"/>
        <v>Enrollment ceiling increase required</v>
      </c>
    </row>
    <row r="55" spans="1:25" hidden="1">
      <c r="A55" s="264" t="s">
        <v>526</v>
      </c>
      <c r="B55" s="264">
        <f>'[8]FY14 Projections by grd (PCS)'!B55</f>
        <v>0</v>
      </c>
      <c r="C55" s="264">
        <f>'[8]FY14 Projections by grd (PCS)'!C55</f>
        <v>0</v>
      </c>
      <c r="D55" s="264">
        <f>'[8]FY14 Projections by grd (PCS)'!D55</f>
        <v>0</v>
      </c>
      <c r="E55" s="264">
        <f>'[8]FY14 Projections by grd (PCS)'!E55</f>
        <v>0</v>
      </c>
      <c r="F55" s="264">
        <f>'[8]FY14 Projections by grd (PCS)'!F55</f>
        <v>0</v>
      </c>
      <c r="G55" s="264">
        <f>'[8]FY14 Projections by grd (PCS)'!G55</f>
        <v>0</v>
      </c>
      <c r="H55" s="264">
        <f>'[8]FY14 Projections by grd (PCS)'!H55</f>
        <v>0</v>
      </c>
      <c r="I55" s="264">
        <f>'[8]FY14 Projections by grd (PCS)'!I55</f>
        <v>0</v>
      </c>
      <c r="J55" s="264">
        <f>'[8]FY14 Projections by grd (PCS)'!J55</f>
        <v>75</v>
      </c>
      <c r="K55" s="264">
        <f>'[8]FY14 Projections by grd (PCS)'!K55</f>
        <v>65</v>
      </c>
      <c r="L55" s="264">
        <f>'[8]FY14 Projections by grd (PCS)'!L55</f>
        <v>83</v>
      </c>
      <c r="M55" s="264">
        <f>'[8]FY14 Projections by grd (PCS)'!M55</f>
        <v>75</v>
      </c>
      <c r="N55" s="264">
        <f>'[8]FY14 Projections by grd (PCS)'!N55</f>
        <v>81</v>
      </c>
      <c r="O55" s="264">
        <f>'[8]FY14 Projections by grd (PCS)'!O55</f>
        <v>30</v>
      </c>
      <c r="P55" s="264">
        <f>'[8]FY14 Projections by grd (PCS)'!P55</f>
        <v>0</v>
      </c>
      <c r="Q55" s="264">
        <f>'[8]FY14 Projections by grd (PCS)'!Q55</f>
        <v>0</v>
      </c>
      <c r="R55" s="264">
        <f>'[8]FY14 Projections by grd (PCS)'!R55</f>
        <v>0</v>
      </c>
      <c r="S55" s="264">
        <f>'[8]FY14 Projections by grd (PCS)'!S55</f>
        <v>0</v>
      </c>
      <c r="T55" s="264">
        <f>'[8]FY14 Projections by grd (PCS)'!T55</f>
        <v>0</v>
      </c>
      <c r="U55" s="262">
        <f t="shared" si="1"/>
        <v>409</v>
      </c>
      <c r="W55" s="264"/>
      <c r="Y55" s="264" t="str">
        <f t="shared" si="0"/>
        <v>Enrollment ceiling increase required</v>
      </c>
    </row>
    <row r="56" spans="1:25" hidden="1">
      <c r="A56" s="264" t="s">
        <v>527</v>
      </c>
      <c r="B56" s="264">
        <f>'[8]FY14 Projections by grd (PCS)'!B56</f>
        <v>51</v>
      </c>
      <c r="C56" s="264">
        <f>'[8]FY14 Projections by grd (PCS)'!C56</f>
        <v>54</v>
      </c>
      <c r="D56" s="264">
        <f>'[8]FY14 Projections by grd (PCS)'!D56</f>
        <v>60</v>
      </c>
      <c r="E56" s="264">
        <f>'[8]FY14 Projections by grd (PCS)'!E56</f>
        <v>44</v>
      </c>
      <c r="F56" s="264">
        <f>'[8]FY14 Projections by grd (PCS)'!F56</f>
        <v>41</v>
      </c>
      <c r="G56" s="264">
        <f>'[8]FY14 Projections by grd (PCS)'!G56</f>
        <v>34</v>
      </c>
      <c r="H56" s="264">
        <f>'[8]FY14 Projections by grd (PCS)'!H56</f>
        <v>30</v>
      </c>
      <c r="I56" s="264">
        <f>'[8]FY14 Projections by grd (PCS)'!I56</f>
        <v>34</v>
      </c>
      <c r="J56" s="264">
        <f>'[8]FY14 Projections by grd (PCS)'!J56</f>
        <v>32</v>
      </c>
      <c r="K56" s="264">
        <f>'[8]FY14 Projections by grd (PCS)'!K56</f>
        <v>35</v>
      </c>
      <c r="L56" s="264">
        <f>'[8]FY14 Projections by grd (PCS)'!L56</f>
        <v>46</v>
      </c>
      <c r="M56" s="264">
        <f>'[8]FY14 Projections by grd (PCS)'!M56</f>
        <v>0</v>
      </c>
      <c r="N56" s="264">
        <f>'[8]FY14 Projections by grd (PCS)'!N56</f>
        <v>0</v>
      </c>
      <c r="O56" s="264">
        <f>'[8]FY14 Projections by grd (PCS)'!O56</f>
        <v>0</v>
      </c>
      <c r="P56" s="264">
        <f>'[8]FY14 Projections by grd (PCS)'!P56</f>
        <v>0</v>
      </c>
      <c r="Q56" s="264">
        <f>'[8]FY14 Projections by grd (PCS)'!Q56</f>
        <v>0</v>
      </c>
      <c r="R56" s="264">
        <f>'[8]FY14 Projections by grd (PCS)'!R56</f>
        <v>0</v>
      </c>
      <c r="S56" s="264">
        <f>'[8]FY14 Projections by grd (PCS)'!S56</f>
        <v>0</v>
      </c>
      <c r="T56" s="264">
        <f>'[8]FY14 Projections by grd (PCS)'!T56</f>
        <v>0</v>
      </c>
      <c r="U56" s="262">
        <f t="shared" si="1"/>
        <v>461</v>
      </c>
      <c r="W56" s="264"/>
      <c r="Y56" s="264" t="str">
        <f t="shared" si="0"/>
        <v>Enrollment ceiling increase required</v>
      </c>
    </row>
    <row r="57" spans="1:25">
      <c r="A57" s="264" t="s">
        <v>600</v>
      </c>
      <c r="B57" s="264">
        <f>'[8]FY14 Projections by grd (PCS)'!B57</f>
        <v>75</v>
      </c>
      <c r="C57" s="264">
        <f>'[8]FY14 Projections by grd (PCS)'!C57</f>
        <v>75</v>
      </c>
      <c r="D57" s="264">
        <f>'[8]FY14 Projections by grd (PCS)'!D57</f>
        <v>50</v>
      </c>
      <c r="E57" s="264">
        <f>'[8]FY14 Projections by grd (PCS)'!E57</f>
        <v>50</v>
      </c>
      <c r="F57" s="264">
        <f>'[8]FY14 Projections by grd (PCS)'!F57</f>
        <v>50</v>
      </c>
      <c r="G57" s="264">
        <f>'[8]FY14 Projections by grd (PCS)'!G57</f>
        <v>50</v>
      </c>
      <c r="H57" s="264">
        <f>'[8]FY14 Projections by grd (PCS)'!H57</f>
        <v>30</v>
      </c>
      <c r="I57" s="264">
        <f>'[8]FY14 Projections by grd (PCS)'!I57</f>
        <v>20</v>
      </c>
      <c r="J57" s="264">
        <f>'[8]FY14 Projections by grd (PCS)'!J57</f>
        <v>15</v>
      </c>
      <c r="K57" s="264">
        <f>'[8]FY14 Projections by grd (PCS)'!K57</f>
        <v>0</v>
      </c>
      <c r="L57" s="264">
        <f>'[8]FY14 Projections by grd (PCS)'!L57</f>
        <v>0</v>
      </c>
      <c r="M57" s="264">
        <f>'[8]FY14 Projections by grd (PCS)'!M57</f>
        <v>0</v>
      </c>
      <c r="N57" s="264">
        <f>'[8]FY14 Projections by grd (PCS)'!N57</f>
        <v>0</v>
      </c>
      <c r="O57" s="264">
        <f>'[8]FY14 Projections by grd (PCS)'!O57</f>
        <v>0</v>
      </c>
      <c r="P57" s="264">
        <f>'[8]FY14 Projections by grd (PCS)'!P57</f>
        <v>0</v>
      </c>
      <c r="Q57" s="264">
        <f>'[8]FY14 Projections by grd (PCS)'!Q57</f>
        <v>0</v>
      </c>
      <c r="R57" s="264">
        <f>'[8]FY14 Projections by grd (PCS)'!R57</f>
        <v>0</v>
      </c>
      <c r="S57" s="264">
        <f>'[8]FY14 Projections by grd (PCS)'!S57</f>
        <v>0</v>
      </c>
      <c r="T57" s="264">
        <f>'[8]FY14 Projections by grd (PCS)'!T57</f>
        <v>0</v>
      </c>
      <c r="U57" s="262">
        <f>SUM(B57:T57)+U58</f>
        <v>850</v>
      </c>
      <c r="W57" s="264">
        <v>946</v>
      </c>
      <c r="Y57" s="264" t="str">
        <f t="shared" si="0"/>
        <v>Enrollment ceiling increase not required</v>
      </c>
    </row>
    <row r="58" spans="1:25" hidden="1">
      <c r="A58" s="264" t="s">
        <v>529</v>
      </c>
      <c r="B58" s="264">
        <f>'[8]FY14 Projections by grd (PCS)'!B58</f>
        <v>50</v>
      </c>
      <c r="C58" s="264">
        <f>'[8]FY14 Projections by grd (PCS)'!C58</f>
        <v>60</v>
      </c>
      <c r="D58" s="264">
        <f>'[8]FY14 Projections by grd (PCS)'!D58</f>
        <v>50</v>
      </c>
      <c r="E58" s="264">
        <f>'[8]FY14 Projections by grd (PCS)'!E58</f>
        <v>50</v>
      </c>
      <c r="F58" s="264">
        <f>'[8]FY14 Projections by grd (PCS)'!F58</f>
        <v>40</v>
      </c>
      <c r="G58" s="264">
        <f>'[8]FY14 Projections by grd (PCS)'!G58</f>
        <v>38</v>
      </c>
      <c r="H58" s="264">
        <f>'[8]FY14 Projections by grd (PCS)'!H58</f>
        <v>30</v>
      </c>
      <c r="I58" s="264">
        <f>'[8]FY14 Projections by grd (PCS)'!I58</f>
        <v>30</v>
      </c>
      <c r="J58" s="264">
        <f>'[8]FY14 Projections by grd (PCS)'!J58</f>
        <v>35</v>
      </c>
      <c r="K58" s="264">
        <f>'[8]FY14 Projections by grd (PCS)'!K58</f>
        <v>31</v>
      </c>
      <c r="L58" s="264">
        <f>'[8]FY14 Projections by grd (PCS)'!L58</f>
        <v>21</v>
      </c>
      <c r="M58" s="264">
        <f>'[8]FY14 Projections by grd (PCS)'!M58</f>
        <v>0</v>
      </c>
      <c r="N58" s="264">
        <f>'[8]FY14 Projections by grd (PCS)'!N58</f>
        <v>0</v>
      </c>
      <c r="O58" s="264">
        <f>'[8]FY14 Projections by grd (PCS)'!O58</f>
        <v>0</v>
      </c>
      <c r="P58" s="264">
        <f>'[8]FY14 Projections by grd (PCS)'!P58</f>
        <v>0</v>
      </c>
      <c r="Q58" s="264">
        <f>'[8]FY14 Projections by grd (PCS)'!Q58</f>
        <v>0</v>
      </c>
      <c r="R58" s="264">
        <f>'[8]FY14 Projections by grd (PCS)'!R58</f>
        <v>0</v>
      </c>
      <c r="S58" s="264">
        <f>'[8]FY14 Projections by grd (PCS)'!S58</f>
        <v>0</v>
      </c>
      <c r="T58" s="264">
        <f>'[8]FY14 Projections by grd (PCS)'!T58</f>
        <v>0</v>
      </c>
      <c r="U58" s="262">
        <f t="shared" si="1"/>
        <v>435</v>
      </c>
      <c r="W58" s="264"/>
      <c r="Y58" s="264" t="str">
        <f t="shared" si="0"/>
        <v>Enrollment ceiling increase required</v>
      </c>
    </row>
    <row r="59" spans="1:25">
      <c r="A59" s="264" t="s">
        <v>530</v>
      </c>
      <c r="B59" s="264">
        <f>'[8]FY14 Projections by grd (PCS)'!B59</f>
        <v>0</v>
      </c>
      <c r="C59" s="264">
        <f>'[8]FY14 Projections by grd (PCS)'!C59</f>
        <v>0</v>
      </c>
      <c r="D59" s="264">
        <f>'[8]FY14 Projections by grd (PCS)'!D59</f>
        <v>0</v>
      </c>
      <c r="E59" s="264">
        <f>'[8]FY14 Projections by grd (PCS)'!E59</f>
        <v>0</v>
      </c>
      <c r="F59" s="264">
        <f>'[8]FY14 Projections by grd (PCS)'!F59</f>
        <v>0</v>
      </c>
      <c r="G59" s="264">
        <f>'[8]FY14 Projections by grd (PCS)'!G59</f>
        <v>0</v>
      </c>
      <c r="H59" s="264">
        <f>'[8]FY14 Projections by grd (PCS)'!H59</f>
        <v>0</v>
      </c>
      <c r="I59" s="264">
        <f>'[8]FY14 Projections by grd (PCS)'!I59</f>
        <v>0</v>
      </c>
      <c r="J59" s="264">
        <f>'[8]FY14 Projections by grd (PCS)'!J59</f>
        <v>0</v>
      </c>
      <c r="K59" s="264">
        <f>'[8]FY14 Projections by grd (PCS)'!K59</f>
        <v>0</v>
      </c>
      <c r="L59" s="264">
        <f>'[8]FY14 Projections by grd (PCS)'!L59</f>
        <v>0</v>
      </c>
      <c r="M59" s="264">
        <f>'[8]FY14 Projections by grd (PCS)'!M59</f>
        <v>65</v>
      </c>
      <c r="N59" s="264">
        <f>'[8]FY14 Projections by grd (PCS)'!N59</f>
        <v>60</v>
      </c>
      <c r="O59" s="264">
        <f>'[8]FY14 Projections by grd (PCS)'!O59</f>
        <v>57</v>
      </c>
      <c r="P59" s="264">
        <f>'[8]FY14 Projections by grd (PCS)'!P59</f>
        <v>43</v>
      </c>
      <c r="Q59" s="264">
        <f>'[8]FY14 Projections by grd (PCS)'!Q59</f>
        <v>0</v>
      </c>
      <c r="R59" s="264">
        <f>'[8]FY14 Projections by grd (PCS)'!R59</f>
        <v>0</v>
      </c>
      <c r="S59" s="264">
        <f>'[8]FY14 Projections by grd (PCS)'!S59</f>
        <v>0</v>
      </c>
      <c r="T59" s="264">
        <f>'[8]FY14 Projections by grd (PCS)'!T59</f>
        <v>0</v>
      </c>
      <c r="U59" s="262">
        <f t="shared" si="1"/>
        <v>225</v>
      </c>
      <c r="W59" s="264">
        <v>250</v>
      </c>
      <c r="Y59" s="264" t="str">
        <f t="shared" si="0"/>
        <v>Enrollment ceiling increase not required</v>
      </c>
    </row>
    <row r="60" spans="1:25">
      <c r="A60" s="264" t="s">
        <v>349</v>
      </c>
      <c r="B60" s="264">
        <f>'[8]FY14 Projections by grd (PCS)'!B60</f>
        <v>75</v>
      </c>
      <c r="C60" s="264">
        <f>'[8]FY14 Projections by grd (PCS)'!C60</f>
        <v>75</v>
      </c>
      <c r="D60" s="264">
        <f>'[8]FY14 Projections by grd (PCS)'!D60</f>
        <v>75</v>
      </c>
      <c r="E60" s="264">
        <f>'[8]FY14 Projections by grd (PCS)'!E60</f>
        <v>0</v>
      </c>
      <c r="F60" s="264">
        <f>'[8]FY14 Projections by grd (PCS)'!F60</f>
        <v>0</v>
      </c>
      <c r="G60" s="264">
        <f>'[8]FY14 Projections by grd (PCS)'!G60</f>
        <v>0</v>
      </c>
      <c r="H60" s="264">
        <f>'[8]FY14 Projections by grd (PCS)'!H60</f>
        <v>0</v>
      </c>
      <c r="I60" s="264">
        <f>'[8]FY14 Projections by grd (PCS)'!I60</f>
        <v>0</v>
      </c>
      <c r="J60" s="264">
        <f>'[8]FY14 Projections by grd (PCS)'!J60</f>
        <v>0</v>
      </c>
      <c r="K60" s="264">
        <f>'[8]FY14 Projections by grd (PCS)'!K60</f>
        <v>0</v>
      </c>
      <c r="L60" s="264">
        <f>'[8]FY14 Projections by grd (PCS)'!L60</f>
        <v>0</v>
      </c>
      <c r="M60" s="264">
        <f>'[8]FY14 Projections by grd (PCS)'!M60</f>
        <v>0</v>
      </c>
      <c r="N60" s="264">
        <f>'[8]FY14 Projections by grd (PCS)'!N60</f>
        <v>0</v>
      </c>
      <c r="O60" s="264">
        <f>'[8]FY14 Projections by grd (PCS)'!O60</f>
        <v>0</v>
      </c>
      <c r="P60" s="264">
        <f>'[8]FY14 Projections by grd (PCS)'!P60</f>
        <v>0</v>
      </c>
      <c r="Q60" s="264">
        <f>'[8]FY14 Projections by grd (PCS)'!Q60</f>
        <v>0</v>
      </c>
      <c r="R60" s="264">
        <f>'[8]FY14 Projections by grd (PCS)'!R60</f>
        <v>0</v>
      </c>
      <c r="S60" s="264">
        <f>'[8]FY14 Projections by grd (PCS)'!S60</f>
        <v>0</v>
      </c>
      <c r="T60" s="264">
        <f>'[8]FY14 Projections by grd (PCS)'!T60</f>
        <v>0</v>
      </c>
      <c r="U60" s="262">
        <f>SUM(B60:T60)+SUM(U61:U62)</f>
        <v>225</v>
      </c>
      <c r="W60" s="264">
        <v>1100</v>
      </c>
      <c r="Y60" s="264" t="str">
        <f t="shared" si="0"/>
        <v>Enrollment ceiling increase not required</v>
      </c>
    </row>
    <row r="61" spans="1:25" hidden="1">
      <c r="A61" s="264" t="s">
        <v>532</v>
      </c>
      <c r="B61" s="264">
        <f>'[8]FY14 Projections by grd (PCS)'!B61</f>
        <v>0</v>
      </c>
      <c r="C61" s="264">
        <f>'[8]FY14 Projections by grd (PCS)'!C61</f>
        <v>0</v>
      </c>
      <c r="D61" s="264">
        <f>'[8]FY14 Projections by grd (PCS)'!D61</f>
        <v>0</v>
      </c>
      <c r="E61" s="264">
        <f>'[8]FY14 Projections by grd (PCS)'!E61</f>
        <v>0</v>
      </c>
      <c r="F61" s="264">
        <f>'[8]FY14 Projections by grd (PCS)'!F61</f>
        <v>0</v>
      </c>
      <c r="G61" s="264">
        <f>'[8]FY14 Projections by grd (PCS)'!G61</f>
        <v>0</v>
      </c>
      <c r="H61" s="264">
        <f>'[8]FY14 Projections by grd (PCS)'!H61</f>
        <v>0</v>
      </c>
      <c r="I61" s="264">
        <f>'[8]FY14 Projections by grd (PCS)'!I61</f>
        <v>0</v>
      </c>
      <c r="J61" s="264">
        <f>'[8]FY14 Projections by grd (PCS)'!J61</f>
        <v>0</v>
      </c>
      <c r="K61" s="264">
        <f>'[8]FY14 Projections by grd (PCS)'!K61</f>
        <v>0</v>
      </c>
      <c r="L61" s="264">
        <f>'[8]FY14 Projections by grd (PCS)'!L61</f>
        <v>0</v>
      </c>
      <c r="M61" s="264">
        <f>'[8]FY14 Projections by grd (PCS)'!M61</f>
        <v>0</v>
      </c>
      <c r="N61" s="264">
        <f>'[8]FY14 Projections by grd (PCS)'!N61</f>
        <v>0</v>
      </c>
      <c r="O61" s="264">
        <f>'[8]FY14 Projections by grd (PCS)'!O61</f>
        <v>0</v>
      </c>
      <c r="P61" s="264">
        <f>'[8]FY14 Projections by grd (PCS)'!P61</f>
        <v>0</v>
      </c>
      <c r="Q61" s="264">
        <f>'[8]FY14 Projections by grd (PCS)'!Q61</f>
        <v>0</v>
      </c>
      <c r="R61" s="264">
        <f>'[8]FY14 Projections by grd (PCS)'!R61</f>
        <v>0</v>
      </c>
      <c r="S61" s="264">
        <f>'[8]FY14 Projections by grd (PCS)'!S61</f>
        <v>0</v>
      </c>
      <c r="T61" s="264">
        <f>'[8]FY14 Projections by grd (PCS)'!T61</f>
        <v>0</v>
      </c>
      <c r="U61" s="262">
        <f t="shared" si="1"/>
        <v>0</v>
      </c>
      <c r="W61" s="264"/>
      <c r="Y61" s="264" t="str">
        <f t="shared" si="0"/>
        <v>Enrollment ceiling increase not required</v>
      </c>
    </row>
    <row r="62" spans="1:25" hidden="1">
      <c r="A62" s="264" t="s">
        <v>533</v>
      </c>
      <c r="B62" s="264">
        <f>'[8]FY14 Projections by grd (PCS)'!B62</f>
        <v>0</v>
      </c>
      <c r="C62" s="264">
        <f>'[8]FY14 Projections by grd (PCS)'!C62</f>
        <v>0</v>
      </c>
      <c r="D62" s="264">
        <f>'[8]FY14 Projections by grd (PCS)'!D62</f>
        <v>0</v>
      </c>
      <c r="E62" s="264">
        <f>'[8]FY14 Projections by grd (PCS)'!E62</f>
        <v>0</v>
      </c>
      <c r="F62" s="264">
        <f>'[8]FY14 Projections by grd (PCS)'!F62</f>
        <v>0</v>
      </c>
      <c r="G62" s="264">
        <f>'[8]FY14 Projections by grd (PCS)'!G62</f>
        <v>0</v>
      </c>
      <c r="H62" s="264">
        <f>'[8]FY14 Projections by grd (PCS)'!H62</f>
        <v>0</v>
      </c>
      <c r="I62" s="264">
        <f>'[8]FY14 Projections by grd (PCS)'!I62</f>
        <v>0</v>
      </c>
      <c r="J62" s="264">
        <f>'[8]FY14 Projections by grd (PCS)'!J62</f>
        <v>0</v>
      </c>
      <c r="K62" s="264">
        <f>'[8]FY14 Projections by grd (PCS)'!K62</f>
        <v>0</v>
      </c>
      <c r="L62" s="264">
        <f>'[8]FY14 Projections by grd (PCS)'!L62</f>
        <v>0</v>
      </c>
      <c r="M62" s="264">
        <f>'[8]FY14 Projections by grd (PCS)'!M62</f>
        <v>0</v>
      </c>
      <c r="N62" s="264">
        <f>'[8]FY14 Projections by grd (PCS)'!N62</f>
        <v>0</v>
      </c>
      <c r="O62" s="264">
        <f>'[8]FY14 Projections by grd (PCS)'!O62</f>
        <v>0</v>
      </c>
      <c r="P62" s="264">
        <f>'[8]FY14 Projections by grd (PCS)'!P62</f>
        <v>0</v>
      </c>
      <c r="Q62" s="264">
        <f>'[8]FY14 Projections by grd (PCS)'!Q62</f>
        <v>0</v>
      </c>
      <c r="R62" s="264">
        <f>'[8]FY14 Projections by grd (PCS)'!R62</f>
        <v>0</v>
      </c>
      <c r="S62" s="264">
        <f>'[8]FY14 Projections by grd (PCS)'!S62</f>
        <v>0</v>
      </c>
      <c r="T62" s="264">
        <f>'[8]FY14 Projections by grd (PCS)'!T62</f>
        <v>0</v>
      </c>
      <c r="U62" s="262">
        <f t="shared" si="1"/>
        <v>0</v>
      </c>
      <c r="W62" s="264"/>
      <c r="Y62" s="264" t="str">
        <f t="shared" si="0"/>
        <v>Enrollment ceiling increase not required</v>
      </c>
    </row>
    <row r="63" spans="1:25">
      <c r="A63" s="264" t="s">
        <v>534</v>
      </c>
      <c r="B63" s="264">
        <f>'[8]FY14 Projections by grd (PCS)'!B63</f>
        <v>0</v>
      </c>
      <c r="C63" s="264">
        <f>'[8]FY14 Projections by grd (PCS)'!C63</f>
        <v>0</v>
      </c>
      <c r="D63" s="264">
        <f>'[8]FY14 Projections by grd (PCS)'!D63</f>
        <v>0</v>
      </c>
      <c r="E63" s="264">
        <f>'[8]FY14 Projections by grd (PCS)'!E63</f>
        <v>0</v>
      </c>
      <c r="F63" s="264">
        <f>'[8]FY14 Projections by grd (PCS)'!F63</f>
        <v>0</v>
      </c>
      <c r="G63" s="264">
        <f>'[8]FY14 Projections by grd (PCS)'!G63</f>
        <v>0</v>
      </c>
      <c r="H63" s="264">
        <f>'[8]FY14 Projections by grd (PCS)'!H63</f>
        <v>0</v>
      </c>
      <c r="I63" s="264">
        <f>'[8]FY14 Projections by grd (PCS)'!I63</f>
        <v>0</v>
      </c>
      <c r="J63" s="264">
        <f>'[8]FY14 Projections by grd (PCS)'!J63</f>
        <v>110</v>
      </c>
      <c r="K63" s="264">
        <f>'[8]FY14 Projections by grd (PCS)'!K63</f>
        <v>110</v>
      </c>
      <c r="L63" s="264">
        <f>'[8]FY14 Projections by grd (PCS)'!L63</f>
        <v>100</v>
      </c>
      <c r="M63" s="264">
        <f>'[8]FY14 Projections by grd (PCS)'!M63</f>
        <v>0</v>
      </c>
      <c r="N63" s="264">
        <f>'[8]FY14 Projections by grd (PCS)'!N63</f>
        <v>0</v>
      </c>
      <c r="O63" s="264">
        <f>'[8]FY14 Projections by grd (PCS)'!O63</f>
        <v>0</v>
      </c>
      <c r="P63" s="264">
        <f>'[8]FY14 Projections by grd (PCS)'!P63</f>
        <v>0</v>
      </c>
      <c r="Q63" s="264">
        <f>'[8]FY14 Projections by grd (PCS)'!Q63</f>
        <v>0</v>
      </c>
      <c r="R63" s="264">
        <f>'[8]FY14 Projections by grd (PCS)'!R63</f>
        <v>0</v>
      </c>
      <c r="S63" s="264">
        <f>'[8]FY14 Projections by grd (PCS)'!S63</f>
        <v>0</v>
      </c>
      <c r="T63" s="264">
        <f>'[8]FY14 Projections by grd (PCS)'!T63</f>
        <v>0</v>
      </c>
      <c r="U63" s="262">
        <f t="shared" si="1"/>
        <v>320</v>
      </c>
      <c r="W63" s="264">
        <v>360</v>
      </c>
      <c r="Y63" s="264" t="str">
        <f t="shared" si="0"/>
        <v>Enrollment ceiling increase not required</v>
      </c>
    </row>
    <row r="64" spans="1:25">
      <c r="A64" s="264" t="s">
        <v>356</v>
      </c>
      <c r="B64" s="264">
        <f>'[8]FY14 Projections by grd (PCS)'!B64</f>
        <v>30</v>
      </c>
      <c r="C64" s="264">
        <f>'[8]FY14 Projections by grd (PCS)'!C64</f>
        <v>40</v>
      </c>
      <c r="D64" s="264">
        <f>'[8]FY14 Projections by grd (PCS)'!D64</f>
        <v>40</v>
      </c>
      <c r="E64" s="264">
        <f>'[8]FY14 Projections by grd (PCS)'!E64</f>
        <v>29</v>
      </c>
      <c r="F64" s="264">
        <f>'[8]FY14 Projections by grd (PCS)'!F64</f>
        <v>29</v>
      </c>
      <c r="G64" s="264">
        <f>'[8]FY14 Projections by grd (PCS)'!G64</f>
        <v>24</v>
      </c>
      <c r="H64" s="264">
        <f>'[8]FY14 Projections by grd (PCS)'!H64</f>
        <v>16</v>
      </c>
      <c r="I64" s="264">
        <f>'[8]FY14 Projections by grd (PCS)'!I64</f>
        <v>16</v>
      </c>
      <c r="J64" s="264">
        <f>'[8]FY14 Projections by grd (PCS)'!J64</f>
        <v>30</v>
      </c>
      <c r="K64" s="264">
        <f>'[8]FY14 Projections by grd (PCS)'!K64</f>
        <v>16</v>
      </c>
      <c r="L64" s="264">
        <f>'[8]FY14 Projections by grd (PCS)'!L64</f>
        <v>18</v>
      </c>
      <c r="M64" s="264">
        <f>'[8]FY14 Projections by grd (PCS)'!M64</f>
        <v>0</v>
      </c>
      <c r="N64" s="264">
        <f>'[8]FY14 Projections by grd (PCS)'!N64</f>
        <v>0</v>
      </c>
      <c r="O64" s="264">
        <f>'[8]FY14 Projections by grd (PCS)'!O64</f>
        <v>0</v>
      </c>
      <c r="P64" s="264">
        <f>'[8]FY14 Projections by grd (PCS)'!P64</f>
        <v>0</v>
      </c>
      <c r="Q64" s="264">
        <f>'[8]FY14 Projections by grd (PCS)'!Q64</f>
        <v>0</v>
      </c>
      <c r="R64" s="264">
        <f>'[8]FY14 Projections by grd (PCS)'!R64</f>
        <v>0</v>
      </c>
      <c r="S64" s="264">
        <f>'[8]FY14 Projections by grd (PCS)'!S64</f>
        <v>0</v>
      </c>
      <c r="T64" s="264">
        <f>'[8]FY14 Projections by grd (PCS)'!T64</f>
        <v>0</v>
      </c>
      <c r="U64" s="262">
        <f t="shared" si="1"/>
        <v>288</v>
      </c>
      <c r="W64" s="264">
        <v>485</v>
      </c>
      <c r="Y64" s="264" t="str">
        <f t="shared" si="0"/>
        <v>Enrollment ceiling increase not required</v>
      </c>
    </row>
    <row r="65" spans="1:28">
      <c r="A65" s="264" t="s">
        <v>535</v>
      </c>
      <c r="B65" s="264">
        <f>'[8]FY14 Projections by grd (PCS)'!B65</f>
        <v>49</v>
      </c>
      <c r="C65" s="264">
        <f>'[8]FY14 Projections by grd (PCS)'!C65</f>
        <v>45</v>
      </c>
      <c r="D65" s="264">
        <f>'[8]FY14 Projections by grd (PCS)'!D65</f>
        <v>50</v>
      </c>
      <c r="E65" s="264">
        <f>'[8]FY14 Projections by grd (PCS)'!E65</f>
        <v>96</v>
      </c>
      <c r="F65" s="264">
        <f>'[8]FY14 Projections by grd (PCS)'!F65</f>
        <v>83</v>
      </c>
      <c r="G65" s="264">
        <f>'[8]FY14 Projections by grd (PCS)'!G65</f>
        <v>75</v>
      </c>
      <c r="H65" s="264">
        <f>'[8]FY14 Projections by grd (PCS)'!H65</f>
        <v>49</v>
      </c>
      <c r="I65" s="264">
        <f>'[8]FY14 Projections by grd (PCS)'!I65</f>
        <v>35</v>
      </c>
      <c r="J65" s="264">
        <f>'[8]FY14 Projections by grd (PCS)'!J65</f>
        <v>45</v>
      </c>
      <c r="K65" s="264">
        <f>'[8]FY14 Projections by grd (PCS)'!K65</f>
        <v>0</v>
      </c>
      <c r="L65" s="264">
        <f>'[8]FY14 Projections by grd (PCS)'!L65</f>
        <v>0</v>
      </c>
      <c r="M65" s="264">
        <f>'[8]FY14 Projections by grd (PCS)'!M65</f>
        <v>0</v>
      </c>
      <c r="N65" s="264">
        <f>'[8]FY14 Projections by grd (PCS)'!N65</f>
        <v>0</v>
      </c>
      <c r="O65" s="264">
        <f>'[8]FY14 Projections by grd (PCS)'!O65</f>
        <v>0</v>
      </c>
      <c r="P65" s="264">
        <f>'[8]FY14 Projections by grd (PCS)'!P65</f>
        <v>0</v>
      </c>
      <c r="Q65" s="264">
        <f>'[8]FY14 Projections by grd (PCS)'!Q65</f>
        <v>0</v>
      </c>
      <c r="R65" s="264">
        <f>'[8]FY14 Projections by grd (PCS)'!R65</f>
        <v>0</v>
      </c>
      <c r="S65" s="264">
        <f>'[8]FY14 Projections by grd (PCS)'!S65</f>
        <v>0</v>
      </c>
      <c r="T65" s="264">
        <f>'[8]FY14 Projections by grd (PCS)'!T65</f>
        <v>0</v>
      </c>
      <c r="U65" s="262">
        <f t="shared" si="1"/>
        <v>527</v>
      </c>
      <c r="W65" s="264">
        <v>708</v>
      </c>
      <c r="Y65" s="264" t="str">
        <f t="shared" si="0"/>
        <v>Enrollment ceiling increase not required</v>
      </c>
    </row>
    <row r="66" spans="1:28">
      <c r="A66" s="265" t="s">
        <v>536</v>
      </c>
      <c r="B66" s="266">
        <f>'[8]FY14 Projections by grd (PCS)'!B66</f>
        <v>24</v>
      </c>
      <c r="C66" s="266">
        <f>'[8]FY14 Projections by grd (PCS)'!C66</f>
        <v>24</v>
      </c>
      <c r="D66" s="266">
        <f>'[8]FY14 Projections by grd (PCS)'!D66</f>
        <v>60</v>
      </c>
      <c r="E66" s="264">
        <f>'[8]FY14 Projections by grd (PCS)'!E66</f>
        <v>0</v>
      </c>
      <c r="F66" s="264">
        <f>'[8]FY14 Projections by grd (PCS)'!F66</f>
        <v>0</v>
      </c>
      <c r="G66" s="264">
        <f>'[8]FY14 Projections by grd (PCS)'!G66</f>
        <v>0</v>
      </c>
      <c r="H66" s="264">
        <f>'[8]FY14 Projections by grd (PCS)'!H66</f>
        <v>0</v>
      </c>
      <c r="I66" s="264">
        <f>'[8]FY14 Projections by grd (PCS)'!I66</f>
        <v>0</v>
      </c>
      <c r="J66" s="264">
        <f>'[8]FY14 Projections by grd (PCS)'!J66</f>
        <v>0</v>
      </c>
      <c r="K66" s="264">
        <f>'[8]FY14 Projections by grd (PCS)'!K66</f>
        <v>0</v>
      </c>
      <c r="L66" s="264">
        <f>'[8]FY14 Projections by grd (PCS)'!L66</f>
        <v>0</v>
      </c>
      <c r="M66" s="264">
        <f>'[8]FY14 Projections by grd (PCS)'!M66</f>
        <v>0</v>
      </c>
      <c r="N66" s="264">
        <f>'[8]FY14 Projections by grd (PCS)'!N66</f>
        <v>0</v>
      </c>
      <c r="O66" s="264">
        <f>'[8]FY14 Projections by grd (PCS)'!O66</f>
        <v>0</v>
      </c>
      <c r="P66" s="264">
        <f>'[8]FY14 Projections by grd (PCS)'!P66</f>
        <v>0</v>
      </c>
      <c r="Q66" s="264">
        <f>'[8]FY14 Projections by grd (PCS)'!Q66</f>
        <v>0</v>
      </c>
      <c r="R66" s="264">
        <f>'[8]FY14 Projections by grd (PCS)'!R66</f>
        <v>0</v>
      </c>
      <c r="S66" s="264">
        <f>'[8]FY14 Projections by grd (PCS)'!S66</f>
        <v>0</v>
      </c>
      <c r="T66" s="264">
        <f>'[8]FY14 Projections by grd (PCS)'!T66</f>
        <v>0</v>
      </c>
      <c r="U66" s="262">
        <f t="shared" si="1"/>
        <v>108</v>
      </c>
      <c r="W66" s="264">
        <v>150</v>
      </c>
      <c r="Y66" s="264" t="str">
        <f t="shared" si="0"/>
        <v>Enrollment ceiling increase not required</v>
      </c>
    </row>
    <row r="67" spans="1:28">
      <c r="A67" s="264" t="s">
        <v>538</v>
      </c>
      <c r="B67" s="264">
        <f>'[8]FY14 Projections by grd (PCS)'!B67</f>
        <v>44</v>
      </c>
      <c r="C67" s="264">
        <f>'[8]FY14 Projections by grd (PCS)'!C67</f>
        <v>44</v>
      </c>
      <c r="D67" s="264">
        <f>'[8]FY14 Projections by grd (PCS)'!D67</f>
        <v>44</v>
      </c>
      <c r="E67" s="264">
        <f>'[8]FY14 Projections by grd (PCS)'!E67</f>
        <v>48</v>
      </c>
      <c r="F67" s="264">
        <f>'[8]FY14 Projections by grd (PCS)'!F67</f>
        <v>24</v>
      </c>
      <c r="G67" s="264">
        <f>'[8]FY14 Projections by grd (PCS)'!G67</f>
        <v>24</v>
      </c>
      <c r="H67" s="264">
        <f>'[8]FY14 Projections by grd (PCS)'!H67</f>
        <v>24</v>
      </c>
      <c r="I67" s="266">
        <f>'[8]FY14 Projections by grd (PCS)'!I67</f>
        <v>24</v>
      </c>
      <c r="J67" s="264">
        <f>'[8]FY14 Projections by grd (PCS)'!J67</f>
        <v>0</v>
      </c>
      <c r="K67" s="264">
        <f>'[8]FY14 Projections by grd (PCS)'!K67</f>
        <v>0</v>
      </c>
      <c r="L67" s="264">
        <f>'[8]FY14 Projections by grd (PCS)'!L67</f>
        <v>0</v>
      </c>
      <c r="M67" s="264">
        <f>'[8]FY14 Projections by grd (PCS)'!M67</f>
        <v>0</v>
      </c>
      <c r="N67" s="264">
        <f>'[8]FY14 Projections by grd (PCS)'!N67</f>
        <v>0</v>
      </c>
      <c r="O67" s="264">
        <f>'[8]FY14 Projections by grd (PCS)'!O67</f>
        <v>0</v>
      </c>
      <c r="P67" s="264">
        <f>'[8]FY14 Projections by grd (PCS)'!P67</f>
        <v>0</v>
      </c>
      <c r="Q67" s="264">
        <f>'[8]FY14 Projections by grd (PCS)'!Q67</f>
        <v>0</v>
      </c>
      <c r="R67" s="264">
        <f>'[8]FY14 Projections by grd (PCS)'!R67</f>
        <v>0</v>
      </c>
      <c r="S67" s="264">
        <f>'[8]FY14 Projections by grd (PCS)'!S67</f>
        <v>0</v>
      </c>
      <c r="T67" s="264">
        <f>'[8]FY14 Projections by grd (PCS)'!T67</f>
        <v>0</v>
      </c>
      <c r="U67" s="262">
        <f t="shared" ref="U67:U112" si="2">SUM(B67:T67)</f>
        <v>276</v>
      </c>
      <c r="W67" s="264">
        <v>300</v>
      </c>
      <c r="Y67" s="264" t="str">
        <f t="shared" ref="Y67:Y114" si="3">IF(U67&gt;W67,"Enrollment ceiling increase required","Enrollment ceiling increase not required")</f>
        <v>Enrollment ceiling increase not required</v>
      </c>
    </row>
    <row r="68" spans="1:28">
      <c r="A68" s="264" t="s">
        <v>540</v>
      </c>
      <c r="B68" s="264">
        <f>'[8]FY14 Projections by grd (PCS)'!B68</f>
        <v>0</v>
      </c>
      <c r="C68" s="264">
        <f>'[8]FY14 Projections by grd (PCS)'!C68</f>
        <v>0</v>
      </c>
      <c r="D68" s="264">
        <f>'[8]FY14 Projections by grd (PCS)'!D68</f>
        <v>0</v>
      </c>
      <c r="E68" s="264">
        <f>'[8]FY14 Projections by grd (PCS)'!E68</f>
        <v>0</v>
      </c>
      <c r="F68" s="264">
        <f>'[8]FY14 Projections by grd (PCS)'!F68</f>
        <v>0</v>
      </c>
      <c r="G68" s="264">
        <f>'[8]FY14 Projections by grd (PCS)'!G68</f>
        <v>0</v>
      </c>
      <c r="H68" s="264">
        <f>'[8]FY14 Projections by grd (PCS)'!H68</f>
        <v>0</v>
      </c>
      <c r="I68" s="264">
        <f>'[8]FY14 Projections by grd (PCS)'!I68</f>
        <v>0</v>
      </c>
      <c r="J68" s="264">
        <f>'[8]FY14 Projections by grd (PCS)'!J68</f>
        <v>0</v>
      </c>
      <c r="K68" s="264">
        <f>'[8]FY14 Projections by grd (PCS)'!K68</f>
        <v>0</v>
      </c>
      <c r="L68" s="264">
        <f>'[8]FY14 Projections by grd (PCS)'!L68</f>
        <v>0</v>
      </c>
      <c r="M68" s="264">
        <f>'[8]FY14 Projections by grd (PCS)'!M68</f>
        <v>68</v>
      </c>
      <c r="N68" s="264">
        <f>'[8]FY14 Projections by grd (PCS)'!N68</f>
        <v>68</v>
      </c>
      <c r="O68" s="264">
        <f>'[8]FY14 Projections by grd (PCS)'!O68</f>
        <v>60</v>
      </c>
      <c r="P68" s="264">
        <f>'[8]FY14 Projections by grd (PCS)'!P68</f>
        <v>60</v>
      </c>
      <c r="Q68" s="264">
        <f>'[8]FY14 Projections by grd (PCS)'!Q68</f>
        <v>0</v>
      </c>
      <c r="R68" s="264">
        <f>'[8]FY14 Projections by grd (PCS)'!R68</f>
        <v>0</v>
      </c>
      <c r="S68" s="264">
        <f>'[8]FY14 Projections by grd (PCS)'!S68</f>
        <v>0</v>
      </c>
      <c r="T68" s="264">
        <f>'[8]FY14 Projections by grd (PCS)'!T68</f>
        <v>0</v>
      </c>
      <c r="U68" s="262">
        <f t="shared" si="2"/>
        <v>256</v>
      </c>
      <c r="W68" s="264">
        <v>550</v>
      </c>
      <c r="Y68" s="264" t="str">
        <f t="shared" si="3"/>
        <v>Enrollment ceiling increase not required</v>
      </c>
    </row>
    <row r="69" spans="1:28">
      <c r="A69" s="264" t="s">
        <v>601</v>
      </c>
      <c r="B69" s="264">
        <f>'[8]FY14 Projections by grd (PCS)'!B69</f>
        <v>0</v>
      </c>
      <c r="C69" s="264">
        <f>'[8]FY14 Projections by grd (PCS)'!C69</f>
        <v>0</v>
      </c>
      <c r="D69" s="264">
        <f>'[8]FY14 Projections by grd (PCS)'!D69</f>
        <v>0</v>
      </c>
      <c r="E69" s="264">
        <f>'[8]FY14 Projections by grd (PCS)'!E69</f>
        <v>0</v>
      </c>
      <c r="F69" s="264">
        <f>'[8]FY14 Projections by grd (PCS)'!F69</f>
        <v>0</v>
      </c>
      <c r="G69" s="264">
        <f>'[8]FY14 Projections by grd (PCS)'!G69</f>
        <v>0</v>
      </c>
      <c r="H69" s="264">
        <f>'[8]FY14 Projections by grd (PCS)'!H69</f>
        <v>0</v>
      </c>
      <c r="I69" s="264">
        <f>'[8]FY14 Projections by grd (PCS)'!I69</f>
        <v>90</v>
      </c>
      <c r="J69" s="264">
        <f>'[8]FY14 Projections by grd (PCS)'!J69</f>
        <v>85</v>
      </c>
      <c r="K69" s="264">
        <f>'[8]FY14 Projections by grd (PCS)'!K69</f>
        <v>80</v>
      </c>
      <c r="L69" s="264">
        <f>'[8]FY14 Projections by grd (PCS)'!L69</f>
        <v>75</v>
      </c>
      <c r="M69" s="264">
        <f>'[8]FY14 Projections by grd (PCS)'!M69</f>
        <v>0</v>
      </c>
      <c r="N69" s="264">
        <f>'[8]FY14 Projections by grd (PCS)'!N69</f>
        <v>0</v>
      </c>
      <c r="O69" s="264">
        <f>'[8]FY14 Projections by grd (PCS)'!O69</f>
        <v>0</v>
      </c>
      <c r="P69" s="264">
        <f>'[8]FY14 Projections by grd (PCS)'!P69</f>
        <v>0</v>
      </c>
      <c r="Q69" s="264">
        <f>'[8]FY14 Projections by grd (PCS)'!Q69</f>
        <v>0</v>
      </c>
      <c r="R69" s="264">
        <f>'[8]FY14 Projections by grd (PCS)'!R69</f>
        <v>0</v>
      </c>
      <c r="S69" s="264">
        <f>'[8]FY14 Projections by grd (PCS)'!S69</f>
        <v>0</v>
      </c>
      <c r="T69" s="264">
        <f>'[8]FY14 Projections by grd (PCS)'!T69</f>
        <v>0</v>
      </c>
      <c r="U69" s="262">
        <f>SUM(B69:T69)+SUM(U70:U80)</f>
        <v>3541</v>
      </c>
      <c r="W69" s="264">
        <v>3114</v>
      </c>
      <c r="Y69" s="264" t="str">
        <f t="shared" si="3"/>
        <v>Enrollment ceiling increase required</v>
      </c>
      <c r="AB69" s="264" t="s">
        <v>614</v>
      </c>
    </row>
    <row r="70" spans="1:28" hidden="1">
      <c r="A70" s="264" t="s">
        <v>543</v>
      </c>
      <c r="B70" s="264">
        <f>'[8]FY14 Projections by grd (PCS)'!B70</f>
        <v>0</v>
      </c>
      <c r="C70" s="264">
        <f>'[8]FY14 Projections by grd (PCS)'!C70</f>
        <v>0</v>
      </c>
      <c r="D70" s="264">
        <f>'[8]FY14 Projections by grd (PCS)'!D70</f>
        <v>0</v>
      </c>
      <c r="E70" s="264">
        <f>'[8]FY14 Projections by grd (PCS)'!E70</f>
        <v>0</v>
      </c>
      <c r="F70" s="264">
        <f>'[8]FY14 Projections by grd (PCS)'!F70</f>
        <v>0</v>
      </c>
      <c r="G70" s="264">
        <f>'[8]FY14 Projections by grd (PCS)'!G70</f>
        <v>0</v>
      </c>
      <c r="H70" s="264">
        <f>'[8]FY14 Projections by grd (PCS)'!H70</f>
        <v>0</v>
      </c>
      <c r="I70" s="264">
        <f>'[8]FY14 Projections by grd (PCS)'!I70</f>
        <v>0</v>
      </c>
      <c r="J70" s="264">
        <f>'[8]FY14 Projections by grd (PCS)'!J70</f>
        <v>0</v>
      </c>
      <c r="K70" s="264">
        <f>'[8]FY14 Projections by grd (PCS)'!K70</f>
        <v>0</v>
      </c>
      <c r="L70" s="264">
        <f>'[8]FY14 Projections by grd (PCS)'!L70</f>
        <v>0</v>
      </c>
      <c r="M70" s="264">
        <f>'[8]FY14 Projections by grd (PCS)'!M70</f>
        <v>135</v>
      </c>
      <c r="N70" s="264">
        <f>'[8]FY14 Projections by grd (PCS)'!N70</f>
        <v>125</v>
      </c>
      <c r="O70" s="264">
        <f>'[8]FY14 Projections by grd (PCS)'!O70</f>
        <v>105</v>
      </c>
      <c r="P70" s="264">
        <f>'[8]FY14 Projections by grd (PCS)'!P70</f>
        <v>75</v>
      </c>
      <c r="Q70" s="264">
        <f>'[8]FY14 Projections by grd (PCS)'!Q70</f>
        <v>0</v>
      </c>
      <c r="R70" s="264">
        <f>'[8]FY14 Projections by grd (PCS)'!R70</f>
        <v>0</v>
      </c>
      <c r="S70" s="264">
        <f>'[8]FY14 Projections by grd (PCS)'!S70</f>
        <v>0</v>
      </c>
      <c r="T70" s="264">
        <f>'[8]FY14 Projections by grd (PCS)'!T70</f>
        <v>0</v>
      </c>
      <c r="U70" s="262">
        <f t="shared" si="2"/>
        <v>440</v>
      </c>
      <c r="W70" s="264"/>
      <c r="Y70" s="264" t="str">
        <f t="shared" si="3"/>
        <v>Enrollment ceiling increase required</v>
      </c>
    </row>
    <row r="71" spans="1:28" hidden="1">
      <c r="A71" s="265" t="s">
        <v>544</v>
      </c>
      <c r="B71" s="266">
        <f>'[8]FY14 Projections by grd (PCS)'!B71</f>
        <v>120</v>
      </c>
      <c r="C71" s="264">
        <f>'[8]FY14 Projections by grd (PCS)'!C71</f>
        <v>0</v>
      </c>
      <c r="D71" s="264">
        <f>'[8]FY14 Projections by grd (PCS)'!D71</f>
        <v>0</v>
      </c>
      <c r="E71" s="264">
        <f>'[8]FY14 Projections by grd (PCS)'!E71</f>
        <v>0</v>
      </c>
      <c r="F71" s="264">
        <f>'[8]FY14 Projections by grd (PCS)'!F71</f>
        <v>0</v>
      </c>
      <c r="G71" s="264">
        <f>'[8]FY14 Projections by grd (PCS)'!G71</f>
        <v>0</v>
      </c>
      <c r="H71" s="264">
        <f>'[8]FY14 Projections by grd (PCS)'!H71</f>
        <v>0</v>
      </c>
      <c r="I71" s="264">
        <f>'[8]FY14 Projections by grd (PCS)'!I71</f>
        <v>0</v>
      </c>
      <c r="J71" s="264">
        <f>'[8]FY14 Projections by grd (PCS)'!J71</f>
        <v>0</v>
      </c>
      <c r="K71" s="264">
        <f>'[8]FY14 Projections by grd (PCS)'!K71</f>
        <v>0</v>
      </c>
      <c r="L71" s="264">
        <f>'[8]FY14 Projections by grd (PCS)'!L71</f>
        <v>0</v>
      </c>
      <c r="M71" s="264">
        <f>'[8]FY14 Projections by grd (PCS)'!M71</f>
        <v>0</v>
      </c>
      <c r="N71" s="264">
        <f>'[8]FY14 Projections by grd (PCS)'!N71</f>
        <v>0</v>
      </c>
      <c r="O71" s="264">
        <f>'[8]FY14 Projections by grd (PCS)'!O71</f>
        <v>0</v>
      </c>
      <c r="P71" s="264">
        <f>'[8]FY14 Projections by grd (PCS)'!P71</f>
        <v>0</v>
      </c>
      <c r="Q71" s="264">
        <f>'[8]FY14 Projections by grd (PCS)'!Q71</f>
        <v>0</v>
      </c>
      <c r="R71" s="264">
        <f>'[8]FY14 Projections by grd (PCS)'!R71</f>
        <v>0</v>
      </c>
      <c r="S71" s="264">
        <f>'[8]FY14 Projections by grd (PCS)'!S71</f>
        <v>0</v>
      </c>
      <c r="T71" s="264">
        <f>'[8]FY14 Projections by grd (PCS)'!T71</f>
        <v>0</v>
      </c>
      <c r="U71" s="262">
        <f t="shared" si="2"/>
        <v>120</v>
      </c>
      <c r="W71" s="264"/>
      <c r="Y71" s="264" t="str">
        <f t="shared" si="3"/>
        <v>Enrollment ceiling increase required</v>
      </c>
    </row>
    <row r="72" spans="1:28" hidden="1">
      <c r="A72" s="264" t="s">
        <v>545</v>
      </c>
      <c r="B72" s="264">
        <f>'[8]FY14 Projections by grd (PCS)'!B72</f>
        <v>100</v>
      </c>
      <c r="C72" s="264">
        <f>'[8]FY14 Projections by grd (PCS)'!C72</f>
        <v>100</v>
      </c>
      <c r="D72" s="264">
        <f>'[8]FY14 Projections by grd (PCS)'!D72</f>
        <v>100</v>
      </c>
      <c r="E72" s="264">
        <f>'[8]FY14 Projections by grd (PCS)'!E72</f>
        <v>0</v>
      </c>
      <c r="F72" s="264">
        <f>'[8]FY14 Projections by grd (PCS)'!F72</f>
        <v>0</v>
      </c>
      <c r="G72" s="264">
        <f>'[8]FY14 Projections by grd (PCS)'!G72</f>
        <v>0</v>
      </c>
      <c r="H72" s="264">
        <f>'[8]FY14 Projections by grd (PCS)'!H72</f>
        <v>0</v>
      </c>
      <c r="I72" s="264">
        <f>'[8]FY14 Projections by grd (PCS)'!I72</f>
        <v>0</v>
      </c>
      <c r="J72" s="264">
        <f>'[8]FY14 Projections by grd (PCS)'!J72</f>
        <v>0</v>
      </c>
      <c r="K72" s="264">
        <f>'[8]FY14 Projections by grd (PCS)'!K72</f>
        <v>0</v>
      </c>
      <c r="L72" s="264">
        <f>'[8]FY14 Projections by grd (PCS)'!L72</f>
        <v>0</v>
      </c>
      <c r="M72" s="264">
        <f>'[8]FY14 Projections by grd (PCS)'!M72</f>
        <v>0</v>
      </c>
      <c r="N72" s="264">
        <f>'[8]FY14 Projections by grd (PCS)'!N72</f>
        <v>0</v>
      </c>
      <c r="O72" s="264">
        <f>'[8]FY14 Projections by grd (PCS)'!O72</f>
        <v>0</v>
      </c>
      <c r="P72" s="264">
        <f>'[8]FY14 Projections by grd (PCS)'!P72</f>
        <v>0</v>
      </c>
      <c r="Q72" s="264">
        <f>'[8]FY14 Projections by grd (PCS)'!Q72</f>
        <v>0</v>
      </c>
      <c r="R72" s="264">
        <f>'[8]FY14 Projections by grd (PCS)'!R72</f>
        <v>0</v>
      </c>
      <c r="S72" s="264">
        <f>'[8]FY14 Projections by grd (PCS)'!S72</f>
        <v>0</v>
      </c>
      <c r="T72" s="264">
        <f>'[8]FY14 Projections by grd (PCS)'!T72</f>
        <v>0</v>
      </c>
      <c r="U72" s="262">
        <f t="shared" si="2"/>
        <v>300</v>
      </c>
      <c r="W72" s="264"/>
      <c r="Y72" s="264" t="str">
        <f t="shared" si="3"/>
        <v>Enrollment ceiling increase required</v>
      </c>
    </row>
    <row r="73" spans="1:28" hidden="1">
      <c r="A73" s="264" t="s">
        <v>546</v>
      </c>
      <c r="B73" s="264">
        <f>'[8]FY14 Projections by grd (PCS)'!B73</f>
        <v>100</v>
      </c>
      <c r="C73" s="264">
        <f>'[8]FY14 Projections by grd (PCS)'!C73</f>
        <v>100</v>
      </c>
      <c r="D73" s="264">
        <f>'[8]FY14 Projections by grd (PCS)'!D73</f>
        <v>100</v>
      </c>
      <c r="E73" s="264">
        <f>'[8]FY14 Projections by grd (PCS)'!E73</f>
        <v>0</v>
      </c>
      <c r="F73" s="264">
        <f>'[8]FY14 Projections by grd (PCS)'!F73</f>
        <v>0</v>
      </c>
      <c r="G73" s="264">
        <f>'[8]FY14 Projections by grd (PCS)'!G73</f>
        <v>0</v>
      </c>
      <c r="H73" s="264">
        <f>'[8]FY14 Projections by grd (PCS)'!H73</f>
        <v>0</v>
      </c>
      <c r="I73" s="264">
        <f>'[8]FY14 Projections by grd (PCS)'!I73</f>
        <v>0</v>
      </c>
      <c r="J73" s="264">
        <f>'[8]FY14 Projections by grd (PCS)'!J73</f>
        <v>0</v>
      </c>
      <c r="K73" s="264">
        <f>'[8]FY14 Projections by grd (PCS)'!K73</f>
        <v>0</v>
      </c>
      <c r="L73" s="264">
        <f>'[8]FY14 Projections by grd (PCS)'!L73</f>
        <v>0</v>
      </c>
      <c r="M73" s="264">
        <f>'[8]FY14 Projections by grd (PCS)'!M73</f>
        <v>0</v>
      </c>
      <c r="N73" s="264">
        <f>'[8]FY14 Projections by grd (PCS)'!N73</f>
        <v>0</v>
      </c>
      <c r="O73" s="264">
        <f>'[8]FY14 Projections by grd (PCS)'!O73</f>
        <v>0</v>
      </c>
      <c r="P73" s="264">
        <f>'[8]FY14 Projections by grd (PCS)'!P73</f>
        <v>0</v>
      </c>
      <c r="Q73" s="264">
        <f>'[8]FY14 Projections by grd (PCS)'!Q73</f>
        <v>0</v>
      </c>
      <c r="R73" s="264">
        <f>'[8]FY14 Projections by grd (PCS)'!R73</f>
        <v>0</v>
      </c>
      <c r="S73" s="264">
        <f>'[8]FY14 Projections by grd (PCS)'!S73</f>
        <v>0</v>
      </c>
      <c r="T73" s="264">
        <f>'[8]FY14 Projections by grd (PCS)'!T73</f>
        <v>0</v>
      </c>
      <c r="U73" s="262">
        <f t="shared" si="2"/>
        <v>300</v>
      </c>
      <c r="W73" s="264"/>
      <c r="Y73" s="264" t="str">
        <f t="shared" si="3"/>
        <v>Enrollment ceiling increase required</v>
      </c>
    </row>
    <row r="74" spans="1:28" hidden="1">
      <c r="A74" s="264" t="s">
        <v>547</v>
      </c>
      <c r="B74" s="264">
        <f>'[8]FY14 Projections by grd (PCS)'!B74</f>
        <v>0</v>
      </c>
      <c r="C74" s="264">
        <f>'[8]FY14 Projections by grd (PCS)'!C74</f>
        <v>0</v>
      </c>
      <c r="D74" s="264">
        <f>'[8]FY14 Projections by grd (PCS)'!D74</f>
        <v>0</v>
      </c>
      <c r="E74" s="264">
        <f>'[8]FY14 Projections by grd (PCS)'!E74</f>
        <v>104</v>
      </c>
      <c r="F74" s="264">
        <f>'[8]FY14 Projections by grd (PCS)'!F74</f>
        <v>104</v>
      </c>
      <c r="G74" s="266">
        <f>'[8]FY14 Projections by grd (PCS)'!G74</f>
        <v>104</v>
      </c>
      <c r="H74" s="264">
        <f>'[8]FY14 Projections by grd (PCS)'!H74</f>
        <v>0</v>
      </c>
      <c r="I74" s="264">
        <f>'[8]FY14 Projections by grd (PCS)'!I74</f>
        <v>0</v>
      </c>
      <c r="J74" s="264">
        <f>'[8]FY14 Projections by grd (PCS)'!J74</f>
        <v>0</v>
      </c>
      <c r="K74" s="264">
        <f>'[8]FY14 Projections by grd (PCS)'!K74</f>
        <v>0</v>
      </c>
      <c r="L74" s="264">
        <f>'[8]FY14 Projections by grd (PCS)'!L74</f>
        <v>0</v>
      </c>
      <c r="M74" s="264">
        <f>'[8]FY14 Projections by grd (PCS)'!M74</f>
        <v>0</v>
      </c>
      <c r="N74" s="264">
        <f>'[8]FY14 Projections by grd (PCS)'!N74</f>
        <v>0</v>
      </c>
      <c r="O74" s="264">
        <f>'[8]FY14 Projections by grd (PCS)'!O74</f>
        <v>0</v>
      </c>
      <c r="P74" s="264">
        <f>'[8]FY14 Projections by grd (PCS)'!P74</f>
        <v>0</v>
      </c>
      <c r="Q74" s="264">
        <f>'[8]FY14 Projections by grd (PCS)'!Q74</f>
        <v>0</v>
      </c>
      <c r="R74" s="264">
        <f>'[8]FY14 Projections by grd (PCS)'!R74</f>
        <v>0</v>
      </c>
      <c r="S74" s="264">
        <f>'[8]FY14 Projections by grd (PCS)'!S74</f>
        <v>0</v>
      </c>
      <c r="T74" s="264">
        <f>'[8]FY14 Projections by grd (PCS)'!T74</f>
        <v>0</v>
      </c>
      <c r="U74" s="262">
        <f t="shared" si="2"/>
        <v>312</v>
      </c>
      <c r="W74" s="264"/>
      <c r="Y74" s="264" t="str">
        <f t="shared" si="3"/>
        <v>Enrollment ceiling increase required</v>
      </c>
    </row>
    <row r="75" spans="1:28" hidden="1">
      <c r="A75" s="264" t="s">
        <v>548</v>
      </c>
      <c r="B75" s="264">
        <f>'[8]FY14 Projections by grd (PCS)'!B75</f>
        <v>0</v>
      </c>
      <c r="C75" s="264">
        <f>'[8]FY14 Projections by grd (PCS)'!C75</f>
        <v>0</v>
      </c>
      <c r="D75" s="264">
        <f>'[8]FY14 Projections by grd (PCS)'!D75</f>
        <v>0</v>
      </c>
      <c r="E75" s="264">
        <f>'[8]FY14 Projections by grd (PCS)'!E75</f>
        <v>0</v>
      </c>
      <c r="F75" s="264">
        <f>'[8]FY14 Projections by grd (PCS)'!F75</f>
        <v>0</v>
      </c>
      <c r="G75" s="264">
        <f>'[8]FY14 Projections by grd (PCS)'!G75</f>
        <v>0</v>
      </c>
      <c r="H75" s="264">
        <f>'[8]FY14 Projections by grd (PCS)'!H75</f>
        <v>0</v>
      </c>
      <c r="I75" s="264">
        <f>'[8]FY14 Projections by grd (PCS)'!I75</f>
        <v>90</v>
      </c>
      <c r="J75" s="264">
        <f>'[8]FY14 Projections by grd (PCS)'!J75</f>
        <v>85</v>
      </c>
      <c r="K75" s="264">
        <f>'[8]FY14 Projections by grd (PCS)'!K75</f>
        <v>80</v>
      </c>
      <c r="L75" s="264">
        <f>'[8]FY14 Projections by grd (PCS)'!L75</f>
        <v>75</v>
      </c>
      <c r="M75" s="264">
        <f>'[8]FY14 Projections by grd (PCS)'!M75</f>
        <v>0</v>
      </c>
      <c r="N75" s="264">
        <f>'[8]FY14 Projections by grd (PCS)'!N75</f>
        <v>0</v>
      </c>
      <c r="O75" s="264">
        <f>'[8]FY14 Projections by grd (PCS)'!O75</f>
        <v>0</v>
      </c>
      <c r="P75" s="264">
        <f>'[8]FY14 Projections by grd (PCS)'!P75</f>
        <v>0</v>
      </c>
      <c r="Q75" s="264">
        <f>'[8]FY14 Projections by grd (PCS)'!Q75</f>
        <v>0</v>
      </c>
      <c r="R75" s="264">
        <f>'[8]FY14 Projections by grd (PCS)'!R75</f>
        <v>0</v>
      </c>
      <c r="S75" s="264">
        <f>'[8]FY14 Projections by grd (PCS)'!S75</f>
        <v>0</v>
      </c>
      <c r="T75" s="264">
        <f>'[8]FY14 Projections by grd (PCS)'!T75</f>
        <v>0</v>
      </c>
      <c r="U75" s="262">
        <f t="shared" si="2"/>
        <v>330</v>
      </c>
      <c r="W75" s="264"/>
      <c r="Y75" s="264" t="str">
        <f t="shared" si="3"/>
        <v>Enrollment ceiling increase required</v>
      </c>
    </row>
    <row r="76" spans="1:28" hidden="1">
      <c r="A76" s="264" t="s">
        <v>549</v>
      </c>
      <c r="B76" s="264">
        <f>'[8]FY14 Projections by grd (PCS)'!B76</f>
        <v>0</v>
      </c>
      <c r="C76" s="264">
        <f>'[8]FY14 Projections by grd (PCS)'!C76</f>
        <v>0</v>
      </c>
      <c r="D76" s="264">
        <f>'[8]FY14 Projections by grd (PCS)'!D76</f>
        <v>0</v>
      </c>
      <c r="E76" s="264">
        <f>'[8]FY14 Projections by grd (PCS)'!E76</f>
        <v>104</v>
      </c>
      <c r="F76" s="266">
        <f>'[8]FY14 Projections by grd (PCS)'!F76</f>
        <v>104</v>
      </c>
      <c r="G76" s="264">
        <f>'[8]FY14 Projections by grd (PCS)'!G76</f>
        <v>0</v>
      </c>
      <c r="H76" s="264">
        <f>'[8]FY14 Projections by grd (PCS)'!H76</f>
        <v>0</v>
      </c>
      <c r="I76" s="264">
        <f>'[8]FY14 Projections by grd (PCS)'!I76</f>
        <v>0</v>
      </c>
      <c r="J76" s="264">
        <f>'[8]FY14 Projections by grd (PCS)'!J76</f>
        <v>0</v>
      </c>
      <c r="K76" s="264">
        <f>'[8]FY14 Projections by grd (PCS)'!K76</f>
        <v>0</v>
      </c>
      <c r="L76" s="264">
        <f>'[8]FY14 Projections by grd (PCS)'!L76</f>
        <v>0</v>
      </c>
      <c r="M76" s="264">
        <f>'[8]FY14 Projections by grd (PCS)'!M76</f>
        <v>0</v>
      </c>
      <c r="N76" s="264">
        <f>'[8]FY14 Projections by grd (PCS)'!N76</f>
        <v>0</v>
      </c>
      <c r="O76" s="264">
        <f>'[8]FY14 Projections by grd (PCS)'!O76</f>
        <v>0</v>
      </c>
      <c r="P76" s="264">
        <f>'[8]FY14 Projections by grd (PCS)'!P76</f>
        <v>0</v>
      </c>
      <c r="Q76" s="264">
        <f>'[8]FY14 Projections by grd (PCS)'!Q76</f>
        <v>0</v>
      </c>
      <c r="R76" s="264">
        <f>'[8]FY14 Projections by grd (PCS)'!R76</f>
        <v>0</v>
      </c>
      <c r="S76" s="264">
        <f>'[8]FY14 Projections by grd (PCS)'!S76</f>
        <v>0</v>
      </c>
      <c r="T76" s="264">
        <f>'[8]FY14 Projections by grd (PCS)'!T76</f>
        <v>0</v>
      </c>
      <c r="U76" s="262">
        <f>SUM(B76:T76)</f>
        <v>208</v>
      </c>
      <c r="W76" s="264"/>
      <c r="Y76" s="264" t="str">
        <f t="shared" si="3"/>
        <v>Enrollment ceiling increase required</v>
      </c>
    </row>
    <row r="77" spans="1:28" hidden="1">
      <c r="A77" s="264" t="s">
        <v>550</v>
      </c>
      <c r="B77" s="264">
        <f>'[8]FY14 Projections by grd (PCS)'!B77</f>
        <v>100</v>
      </c>
      <c r="C77" s="264">
        <f>'[8]FY14 Projections by grd (PCS)'!C77</f>
        <v>100</v>
      </c>
      <c r="D77" s="264">
        <f>'[8]FY14 Projections by grd (PCS)'!D77</f>
        <v>100</v>
      </c>
      <c r="E77" s="264">
        <f>'[8]FY14 Projections by grd (PCS)'!E77</f>
        <v>0</v>
      </c>
      <c r="F77" s="264">
        <f>'[8]FY14 Projections by grd (PCS)'!F77</f>
        <v>0</v>
      </c>
      <c r="G77" s="264">
        <f>'[8]FY14 Projections by grd (PCS)'!G77</f>
        <v>0</v>
      </c>
      <c r="H77" s="264">
        <f>'[8]FY14 Projections by grd (PCS)'!H77</f>
        <v>0</v>
      </c>
      <c r="I77" s="264">
        <f>'[8]FY14 Projections by grd (PCS)'!I77</f>
        <v>0</v>
      </c>
      <c r="J77" s="264">
        <f>'[8]FY14 Projections by grd (PCS)'!J77</f>
        <v>0</v>
      </c>
      <c r="K77" s="264">
        <f>'[8]FY14 Projections by grd (PCS)'!K77</f>
        <v>0</v>
      </c>
      <c r="L77" s="264">
        <f>'[8]FY14 Projections by grd (PCS)'!L77</f>
        <v>0</v>
      </c>
      <c r="M77" s="264">
        <f>'[8]FY14 Projections by grd (PCS)'!M77</f>
        <v>0</v>
      </c>
      <c r="N77" s="264">
        <f>'[8]FY14 Projections by grd (PCS)'!N77</f>
        <v>0</v>
      </c>
      <c r="O77" s="264">
        <f>'[8]FY14 Projections by grd (PCS)'!O77</f>
        <v>0</v>
      </c>
      <c r="P77" s="264">
        <f>'[8]FY14 Projections by grd (PCS)'!P77</f>
        <v>0</v>
      </c>
      <c r="Q77" s="264">
        <f>'[8]FY14 Projections by grd (PCS)'!Q77</f>
        <v>0</v>
      </c>
      <c r="R77" s="264">
        <f>'[8]FY14 Projections by grd (PCS)'!R77</f>
        <v>0</v>
      </c>
      <c r="S77" s="264">
        <f>'[8]FY14 Projections by grd (PCS)'!S77</f>
        <v>0</v>
      </c>
      <c r="T77" s="264">
        <f>'[8]FY14 Projections by grd (PCS)'!T77</f>
        <v>0</v>
      </c>
      <c r="U77" s="262">
        <f>SUM(B77:T77)</f>
        <v>300</v>
      </c>
      <c r="W77" s="264"/>
      <c r="Y77" s="264" t="str">
        <f t="shared" si="3"/>
        <v>Enrollment ceiling increase required</v>
      </c>
    </row>
    <row r="78" spans="1:28" hidden="1">
      <c r="A78" s="264" t="s">
        <v>551</v>
      </c>
      <c r="B78" s="264">
        <f>'[8]FY14 Projections by grd (PCS)'!B78</f>
        <v>0</v>
      </c>
      <c r="C78" s="264">
        <f>'[8]FY14 Projections by grd (PCS)'!C78</f>
        <v>0</v>
      </c>
      <c r="D78" s="264">
        <f>'[8]FY14 Projections by grd (PCS)'!D78</f>
        <v>0</v>
      </c>
      <c r="E78" s="264">
        <f>'[8]FY14 Projections by grd (PCS)'!E78</f>
        <v>104</v>
      </c>
      <c r="F78" s="264">
        <f>'[8]FY14 Projections by grd (PCS)'!F78</f>
        <v>104</v>
      </c>
      <c r="G78" s="264">
        <f>'[8]FY14 Projections by grd (PCS)'!G78</f>
        <v>104</v>
      </c>
      <c r="H78" s="264">
        <f>'[8]FY14 Projections by grd (PCS)'!H78</f>
        <v>104</v>
      </c>
      <c r="I78" s="264">
        <f>'[8]FY14 Projections by grd (PCS)'!I78</f>
        <v>0</v>
      </c>
      <c r="J78" s="264">
        <f>'[8]FY14 Projections by grd (PCS)'!J78</f>
        <v>0</v>
      </c>
      <c r="K78" s="264">
        <f>'[8]FY14 Projections by grd (PCS)'!K78</f>
        <v>0</v>
      </c>
      <c r="L78" s="264">
        <f>'[8]FY14 Projections by grd (PCS)'!L78</f>
        <v>0</v>
      </c>
      <c r="M78" s="264">
        <f>'[8]FY14 Projections by grd (PCS)'!M78</f>
        <v>0</v>
      </c>
      <c r="N78" s="264">
        <f>'[8]FY14 Projections by grd (PCS)'!N78</f>
        <v>0</v>
      </c>
      <c r="O78" s="264">
        <f>'[8]FY14 Projections by grd (PCS)'!O78</f>
        <v>0</v>
      </c>
      <c r="P78" s="264">
        <f>'[8]FY14 Projections by grd (PCS)'!P78</f>
        <v>0</v>
      </c>
      <c r="Q78" s="264">
        <f>'[8]FY14 Projections by grd (PCS)'!Q78</f>
        <v>0</v>
      </c>
      <c r="R78" s="264">
        <f>'[8]FY14 Projections by grd (PCS)'!R78</f>
        <v>0</v>
      </c>
      <c r="S78" s="264">
        <f>'[8]FY14 Projections by grd (PCS)'!S78</f>
        <v>0</v>
      </c>
      <c r="T78" s="264">
        <f>'[8]FY14 Projections by grd (PCS)'!T78</f>
        <v>0</v>
      </c>
      <c r="U78" s="262">
        <f t="shared" si="2"/>
        <v>416</v>
      </c>
      <c r="W78" s="264"/>
      <c r="Y78" s="264" t="str">
        <f t="shared" si="3"/>
        <v>Enrollment ceiling increase required</v>
      </c>
    </row>
    <row r="79" spans="1:28" hidden="1">
      <c r="A79" s="265" t="s">
        <v>552</v>
      </c>
      <c r="B79" s="264">
        <f>'[8]FY14 Projections by grd (PCS)'!B79</f>
        <v>0</v>
      </c>
      <c r="C79" s="264">
        <f>'[8]FY14 Projections by grd (PCS)'!C79</f>
        <v>0</v>
      </c>
      <c r="D79" s="266">
        <f>'[8]FY14 Projections by grd (PCS)'!D79</f>
        <v>125</v>
      </c>
      <c r="E79" s="264">
        <f>'[8]FY14 Projections by grd (PCS)'!E79</f>
        <v>0</v>
      </c>
      <c r="F79" s="264">
        <f>'[8]FY14 Projections by grd (PCS)'!F79</f>
        <v>0</v>
      </c>
      <c r="G79" s="264">
        <f>'[8]FY14 Projections by grd (PCS)'!G79</f>
        <v>0</v>
      </c>
      <c r="H79" s="264">
        <f>'[8]FY14 Projections by grd (PCS)'!H79</f>
        <v>0</v>
      </c>
      <c r="I79" s="264">
        <f>'[8]FY14 Projections by grd (PCS)'!I79</f>
        <v>0</v>
      </c>
      <c r="J79" s="264">
        <f>'[8]FY14 Projections by grd (PCS)'!J79</f>
        <v>0</v>
      </c>
      <c r="K79" s="264">
        <f>'[8]FY14 Projections by grd (PCS)'!K79</f>
        <v>0</v>
      </c>
      <c r="L79" s="264">
        <f>'[8]FY14 Projections by grd (PCS)'!L79</f>
        <v>0</v>
      </c>
      <c r="M79" s="264">
        <f>'[8]FY14 Projections by grd (PCS)'!M79</f>
        <v>0</v>
      </c>
      <c r="N79" s="264">
        <f>'[8]FY14 Projections by grd (PCS)'!N79</f>
        <v>0</v>
      </c>
      <c r="O79" s="264">
        <f>'[8]FY14 Projections by grd (PCS)'!O79</f>
        <v>0</v>
      </c>
      <c r="P79" s="264">
        <f>'[8]FY14 Projections by grd (PCS)'!P79</f>
        <v>0</v>
      </c>
      <c r="Q79" s="264">
        <f>'[8]FY14 Projections by grd (PCS)'!Q79</f>
        <v>0</v>
      </c>
      <c r="R79" s="264">
        <f>'[8]FY14 Projections by grd (PCS)'!R79</f>
        <v>0</v>
      </c>
      <c r="S79" s="264">
        <f>'[8]FY14 Projections by grd (PCS)'!S79</f>
        <v>0</v>
      </c>
      <c r="T79" s="264">
        <f>'[8]FY14 Projections by grd (PCS)'!T79</f>
        <v>0</v>
      </c>
      <c r="U79" s="262">
        <f t="shared" si="2"/>
        <v>125</v>
      </c>
      <c r="W79" s="264"/>
      <c r="Y79" s="264" t="str">
        <f t="shared" si="3"/>
        <v>Enrollment ceiling increase required</v>
      </c>
    </row>
    <row r="80" spans="1:28" hidden="1">
      <c r="A80" s="264" t="s">
        <v>553</v>
      </c>
      <c r="B80" s="264">
        <f>'[8]FY14 Projections by grd (PCS)'!B80</f>
        <v>0</v>
      </c>
      <c r="C80" s="264">
        <f>'[8]FY14 Projections by grd (PCS)'!C80</f>
        <v>0</v>
      </c>
      <c r="D80" s="264">
        <f>'[8]FY14 Projections by grd (PCS)'!D80</f>
        <v>0</v>
      </c>
      <c r="E80" s="264">
        <f>'[8]FY14 Projections by grd (PCS)'!E80</f>
        <v>0</v>
      </c>
      <c r="F80" s="264">
        <f>'[8]FY14 Projections by grd (PCS)'!F80</f>
        <v>0</v>
      </c>
      <c r="G80" s="264">
        <f>'[8]FY14 Projections by grd (PCS)'!G80</f>
        <v>0</v>
      </c>
      <c r="H80" s="264">
        <f>'[8]FY14 Projections by grd (PCS)'!H80</f>
        <v>30</v>
      </c>
      <c r="I80" s="264">
        <f>'[8]FY14 Projections by grd (PCS)'!I80</f>
        <v>90</v>
      </c>
      <c r="J80" s="264">
        <f>'[8]FY14 Projections by grd (PCS)'!J80</f>
        <v>85</v>
      </c>
      <c r="K80" s="264">
        <f>'[8]FY14 Projections by grd (PCS)'!K80</f>
        <v>80</v>
      </c>
      <c r="L80" s="264">
        <f>'[8]FY14 Projections by grd (PCS)'!L80</f>
        <v>75</v>
      </c>
      <c r="M80" s="264">
        <f>'[8]FY14 Projections by grd (PCS)'!M80</f>
        <v>0</v>
      </c>
      <c r="N80" s="264">
        <f>'[8]FY14 Projections by grd (PCS)'!N80</f>
        <v>0</v>
      </c>
      <c r="O80" s="264">
        <f>'[8]FY14 Projections by grd (PCS)'!O80</f>
        <v>0</v>
      </c>
      <c r="P80" s="264">
        <f>'[8]FY14 Projections by grd (PCS)'!P80</f>
        <v>0</v>
      </c>
      <c r="Q80" s="264">
        <f>'[8]FY14 Projections by grd (PCS)'!Q80</f>
        <v>0</v>
      </c>
      <c r="R80" s="264">
        <f>'[8]FY14 Projections by grd (PCS)'!R80</f>
        <v>0</v>
      </c>
      <c r="S80" s="264">
        <f>'[8]FY14 Projections by grd (PCS)'!S80</f>
        <v>0</v>
      </c>
      <c r="T80" s="264">
        <f>'[8]FY14 Projections by grd (PCS)'!T80</f>
        <v>0</v>
      </c>
      <c r="U80" s="262">
        <f t="shared" si="2"/>
        <v>360</v>
      </c>
      <c r="W80" s="264"/>
      <c r="Y80" s="264" t="str">
        <f t="shared" si="3"/>
        <v>Enrollment ceiling increase required</v>
      </c>
    </row>
    <row r="81" spans="1:28">
      <c r="A81" s="265" t="s">
        <v>554</v>
      </c>
      <c r="B81" s="264">
        <f>'[8]FY14 Projections by grd (PCS)'!B81</f>
        <v>0</v>
      </c>
      <c r="C81" s="264">
        <f>'[8]FY14 Projections by grd (PCS)'!C81</f>
        <v>0</v>
      </c>
      <c r="D81" s="264">
        <f>'[8]FY14 Projections by grd (PCS)'!D81</f>
        <v>0</v>
      </c>
      <c r="E81" s="264">
        <f>'[8]FY14 Projections by grd (PCS)'!E81</f>
        <v>0</v>
      </c>
      <c r="F81" s="264">
        <f>'[8]FY14 Projections by grd (PCS)'!F81</f>
        <v>0</v>
      </c>
      <c r="G81" s="264">
        <f>'[8]FY14 Projections by grd (PCS)'!G81</f>
        <v>0</v>
      </c>
      <c r="H81" s="264">
        <f>'[8]FY14 Projections by grd (PCS)'!H81</f>
        <v>0</v>
      </c>
      <c r="I81" s="264">
        <f>'[8]FY14 Projections by grd (PCS)'!I81</f>
        <v>0</v>
      </c>
      <c r="J81" s="264">
        <f>'[8]FY14 Projections by grd (PCS)'!J81</f>
        <v>0</v>
      </c>
      <c r="K81" s="264">
        <f>'[8]FY14 Projections by grd (PCS)'!K81</f>
        <v>0</v>
      </c>
      <c r="L81" s="264">
        <f>'[8]FY14 Projections by grd (PCS)'!L81</f>
        <v>0</v>
      </c>
      <c r="M81" s="266">
        <f>'[8]FY14 Projections by grd (PCS)'!M81</f>
        <v>5</v>
      </c>
      <c r="N81" s="266">
        <f>'[8]FY14 Projections by grd (PCS)'!N81</f>
        <v>10</v>
      </c>
      <c r="O81" s="266">
        <f>'[8]FY14 Projections by grd (PCS)'!O81</f>
        <v>15</v>
      </c>
      <c r="P81" s="266">
        <f>'[8]FY14 Projections by grd (PCS)'!P81</f>
        <v>15</v>
      </c>
      <c r="Q81" s="264">
        <f>'[8]FY14 Projections by grd (PCS)'!Q81</f>
        <v>0</v>
      </c>
      <c r="R81" s="264">
        <f>'[8]FY14 Projections by grd (PCS)'!R81</f>
        <v>0</v>
      </c>
      <c r="S81" s="266">
        <f>'[8]FY14 Projections by grd (PCS)'!S81</f>
        <v>105</v>
      </c>
      <c r="T81" s="264">
        <f>'[8]FY14 Projections by grd (PCS)'!T81</f>
        <v>0</v>
      </c>
      <c r="U81" s="262">
        <f t="shared" si="2"/>
        <v>150</v>
      </c>
      <c r="W81" s="264">
        <v>250</v>
      </c>
      <c r="Y81" s="264" t="str">
        <f t="shared" si="3"/>
        <v>Enrollment ceiling increase not required</v>
      </c>
    </row>
    <row r="82" spans="1:28">
      <c r="A82" s="261" t="s">
        <v>602</v>
      </c>
      <c r="B82" s="261">
        <f>'[8]FY14 Projections by grd (PCS)'!B82</f>
        <v>21</v>
      </c>
      <c r="C82" s="261">
        <f>'[8]FY14 Projections by grd (PCS)'!C82</f>
        <v>21</v>
      </c>
      <c r="D82" s="261">
        <f>'[8]FY14 Projections by grd (PCS)'!D82</f>
        <v>33</v>
      </c>
      <c r="E82" s="261">
        <f>'[8]FY14 Projections by grd (PCS)'!E82</f>
        <v>30</v>
      </c>
      <c r="F82" s="261">
        <f>'[8]FY14 Projections by grd (PCS)'!F82</f>
        <v>28</v>
      </c>
      <c r="G82" s="261">
        <f>'[8]FY14 Projections by grd (PCS)'!G82</f>
        <v>29</v>
      </c>
      <c r="H82" s="261">
        <f>'[8]FY14 Projections by grd (PCS)'!H82</f>
        <v>19</v>
      </c>
      <c r="I82" s="261">
        <f>'[8]FY14 Projections by grd (PCS)'!I82</f>
        <v>10</v>
      </c>
      <c r="J82" s="261">
        <f>'[8]FY14 Projections by grd (PCS)'!J82</f>
        <v>0</v>
      </c>
      <c r="K82" s="261">
        <f>'[8]FY14 Projections by grd (PCS)'!K82</f>
        <v>0</v>
      </c>
      <c r="L82" s="261">
        <f>'[8]FY14 Projections by grd (PCS)'!L82</f>
        <v>0</v>
      </c>
      <c r="M82" s="261">
        <f>'[8]FY14 Projections by grd (PCS)'!M82</f>
        <v>0</v>
      </c>
      <c r="N82" s="261">
        <f>'[8]FY14 Projections by grd (PCS)'!N82</f>
        <v>0</v>
      </c>
      <c r="O82" s="261">
        <f>'[8]FY14 Projections by grd (PCS)'!O82</f>
        <v>0</v>
      </c>
      <c r="P82" s="261">
        <f>'[8]FY14 Projections by grd (PCS)'!P82</f>
        <v>0</v>
      </c>
      <c r="Q82" s="261">
        <f>'[8]FY14 Projections by grd (PCS)'!Q82</f>
        <v>0</v>
      </c>
      <c r="R82" s="261">
        <f>'[8]FY14 Projections by grd (PCS)'!R82</f>
        <v>0</v>
      </c>
      <c r="S82" s="261">
        <f>'[8]FY14 Projections by grd (PCS)'!S82</f>
        <v>0</v>
      </c>
      <c r="T82" s="261">
        <f>'[8]FY14 Projections by grd (PCS)'!T82</f>
        <v>0</v>
      </c>
      <c r="U82" s="262">
        <f>SUM(B82:T82)+U83</f>
        <v>314</v>
      </c>
      <c r="W82" s="264">
        <v>350</v>
      </c>
      <c r="Y82" s="264" t="str">
        <f t="shared" si="3"/>
        <v>Enrollment ceiling increase not required</v>
      </c>
    </row>
    <row r="83" spans="1:28" hidden="1">
      <c r="A83" s="261" t="s">
        <v>556</v>
      </c>
      <c r="B83" s="261">
        <f>'[8]FY14 Projections by grd (PCS)'!B83</f>
        <v>35</v>
      </c>
      <c r="C83" s="261">
        <f>'[8]FY14 Projections by grd (PCS)'!C83</f>
        <v>35</v>
      </c>
      <c r="D83" s="261">
        <f>'[8]FY14 Projections by grd (PCS)'!D83</f>
        <v>28</v>
      </c>
      <c r="E83" s="261">
        <f>'[8]FY14 Projections by grd (PCS)'!E83</f>
        <v>25</v>
      </c>
      <c r="F83" s="261">
        <f>'[8]FY14 Projections by grd (PCS)'!F83</f>
        <v>0</v>
      </c>
      <c r="G83" s="261">
        <f>'[8]FY14 Projections by grd (PCS)'!G83</f>
        <v>0</v>
      </c>
      <c r="H83" s="261">
        <f>'[8]FY14 Projections by grd (PCS)'!H83</f>
        <v>0</v>
      </c>
      <c r="I83" s="261">
        <f>'[8]FY14 Projections by grd (PCS)'!I83</f>
        <v>0</v>
      </c>
      <c r="J83" s="261">
        <f>'[8]FY14 Projections by grd (PCS)'!J83</f>
        <v>0</v>
      </c>
      <c r="K83" s="261">
        <f>'[8]FY14 Projections by grd (PCS)'!K83</f>
        <v>0</v>
      </c>
      <c r="L83" s="261">
        <f>'[8]FY14 Projections by grd (PCS)'!L83</f>
        <v>0</v>
      </c>
      <c r="M83" s="261">
        <f>'[8]FY14 Projections by grd (PCS)'!M83</f>
        <v>0</v>
      </c>
      <c r="N83" s="261">
        <f>'[8]FY14 Projections by grd (PCS)'!N83</f>
        <v>0</v>
      </c>
      <c r="O83" s="261">
        <f>'[8]FY14 Projections by grd (PCS)'!O83</f>
        <v>0</v>
      </c>
      <c r="P83" s="261">
        <f>'[8]FY14 Projections by grd (PCS)'!P83</f>
        <v>0</v>
      </c>
      <c r="Q83" s="261">
        <f>'[8]FY14 Projections by grd (PCS)'!Q83</f>
        <v>0</v>
      </c>
      <c r="R83" s="261">
        <f>'[8]FY14 Projections by grd (PCS)'!R83</f>
        <v>0</v>
      </c>
      <c r="S83" s="261">
        <f>'[8]FY14 Projections by grd (PCS)'!S83</f>
        <v>0</v>
      </c>
      <c r="T83" s="261">
        <f>'[8]FY14 Projections by grd (PCS)'!T83</f>
        <v>0</v>
      </c>
      <c r="U83" s="262">
        <f t="shared" si="2"/>
        <v>123</v>
      </c>
      <c r="Y83" s="264" t="str">
        <f t="shared" si="3"/>
        <v>Enrollment ceiling increase required</v>
      </c>
    </row>
    <row r="84" spans="1:28">
      <c r="A84" s="261" t="s">
        <v>557</v>
      </c>
      <c r="B84" s="261">
        <f>'[8]FY14 Projections by grd (PCS)'!B84</f>
        <v>36</v>
      </c>
      <c r="C84" s="261">
        <f>'[8]FY14 Projections by grd (PCS)'!C84</f>
        <v>36</v>
      </c>
      <c r="D84" s="261">
        <f>'[8]FY14 Projections by grd (PCS)'!D84</f>
        <v>30</v>
      </c>
      <c r="E84" s="261">
        <f>'[8]FY14 Projections by grd (PCS)'!E84</f>
        <v>30</v>
      </c>
      <c r="F84" s="261">
        <f>'[8]FY14 Projections by grd (PCS)'!F84</f>
        <v>30</v>
      </c>
      <c r="G84" s="261">
        <f>'[8]FY14 Projections by grd (PCS)'!G84</f>
        <v>30</v>
      </c>
      <c r="H84" s="261">
        <f>'[8]FY14 Projections by grd (PCS)'!H84</f>
        <v>30</v>
      </c>
      <c r="I84" s="261">
        <f>'[8]FY14 Projections by grd (PCS)'!I84</f>
        <v>37</v>
      </c>
      <c r="J84" s="261">
        <f>'[8]FY14 Projections by grd (PCS)'!J84</f>
        <v>40</v>
      </c>
      <c r="K84" s="261">
        <f>'[8]FY14 Projections by grd (PCS)'!K84</f>
        <v>30</v>
      </c>
      <c r="L84" s="261">
        <f>'[8]FY14 Projections by grd (PCS)'!L84</f>
        <v>15</v>
      </c>
      <c r="M84" s="261">
        <f>'[8]FY14 Projections by grd (PCS)'!M84</f>
        <v>0</v>
      </c>
      <c r="N84" s="261">
        <f>'[8]FY14 Projections by grd (PCS)'!N84</f>
        <v>0</v>
      </c>
      <c r="O84" s="261">
        <f>'[8]FY14 Projections by grd (PCS)'!O84</f>
        <v>0</v>
      </c>
      <c r="P84" s="261">
        <f>'[8]FY14 Projections by grd (PCS)'!P84</f>
        <v>0</v>
      </c>
      <c r="Q84" s="261">
        <f>'[8]FY14 Projections by grd (PCS)'!Q84</f>
        <v>0</v>
      </c>
      <c r="R84" s="261">
        <f>'[8]FY14 Projections by grd (PCS)'!R84</f>
        <v>0</v>
      </c>
      <c r="S84" s="261">
        <f>'[8]FY14 Projections by grd (PCS)'!S84</f>
        <v>0</v>
      </c>
      <c r="T84" s="261">
        <f>'[8]FY14 Projections by grd (PCS)'!T84</f>
        <v>0</v>
      </c>
      <c r="U84" s="262">
        <f t="shared" si="2"/>
        <v>344</v>
      </c>
      <c r="W84" s="261">
        <v>344</v>
      </c>
      <c r="Y84" s="264" t="str">
        <f t="shared" si="3"/>
        <v>Enrollment ceiling increase not required</v>
      </c>
    </row>
    <row r="85" spans="1:28">
      <c r="A85" s="261" t="s">
        <v>603</v>
      </c>
      <c r="B85" s="261">
        <f>'[8]FY14 Projections by grd (PCS)'!B85</f>
        <v>0</v>
      </c>
      <c r="C85" s="261">
        <f>'[8]FY14 Projections by grd (PCS)'!C85</f>
        <v>0</v>
      </c>
      <c r="D85" s="261">
        <f>'[8]FY14 Projections by grd (PCS)'!D85</f>
        <v>0</v>
      </c>
      <c r="E85" s="261">
        <f>'[8]FY14 Projections by grd (PCS)'!E85</f>
        <v>0</v>
      </c>
      <c r="F85" s="261">
        <f>'[8]FY14 Projections by grd (PCS)'!F85</f>
        <v>0</v>
      </c>
      <c r="G85" s="261">
        <f>'[8]FY14 Projections by grd (PCS)'!G85</f>
        <v>0</v>
      </c>
      <c r="H85" s="261">
        <f>'[8]FY14 Projections by grd (PCS)'!H85</f>
        <v>0</v>
      </c>
      <c r="I85" s="261">
        <f>'[8]FY14 Projections by grd (PCS)'!I85</f>
        <v>0</v>
      </c>
      <c r="J85" s="261">
        <f>'[8]FY14 Projections by grd (PCS)'!J85</f>
        <v>0</v>
      </c>
      <c r="K85" s="261">
        <f>'[8]FY14 Projections by grd (PCS)'!K85</f>
        <v>0</v>
      </c>
      <c r="L85" s="261">
        <f>'[8]FY14 Projections by grd (PCS)'!L85</f>
        <v>0</v>
      </c>
      <c r="M85" s="261">
        <f>'[8]FY14 Projections by grd (PCS)'!M85</f>
        <v>0</v>
      </c>
      <c r="N85" s="261">
        <f>'[8]FY14 Projections by grd (PCS)'!N85</f>
        <v>0</v>
      </c>
      <c r="O85" s="261">
        <f>'[8]FY14 Projections by grd (PCS)'!O85</f>
        <v>0</v>
      </c>
      <c r="P85" s="261">
        <f>'[8]FY14 Projections by grd (PCS)'!P85</f>
        <v>0</v>
      </c>
      <c r="Q85" s="261">
        <f>'[8]FY14 Projections by grd (PCS)'!Q85</f>
        <v>300</v>
      </c>
      <c r="R85" s="261">
        <f>'[8]FY14 Projections by grd (PCS)'!R85</f>
        <v>0</v>
      </c>
      <c r="S85" s="261">
        <f>'[8]FY14 Projections by grd (PCS)'!S85</f>
        <v>0</v>
      </c>
      <c r="T85" s="261">
        <f>'[8]FY14 Projections by grd (PCS)'!T85</f>
        <v>0</v>
      </c>
      <c r="U85" s="262">
        <f>SUM(B85:T85)+U86+U87</f>
        <v>665</v>
      </c>
      <c r="W85" s="261">
        <v>740</v>
      </c>
      <c r="Y85" s="264" t="str">
        <f t="shared" si="3"/>
        <v>Enrollment ceiling increase not required</v>
      </c>
    </row>
    <row r="86" spans="1:28" hidden="1">
      <c r="A86" s="261" t="s">
        <v>560</v>
      </c>
      <c r="B86" s="261">
        <f>'[8]FY14 Projections by grd (PCS)'!B86</f>
        <v>0</v>
      </c>
      <c r="C86" s="261">
        <f>'[8]FY14 Projections by grd (PCS)'!C86</f>
        <v>0</v>
      </c>
      <c r="D86" s="261">
        <f>'[8]FY14 Projections by grd (PCS)'!D86</f>
        <v>0</v>
      </c>
      <c r="E86" s="261">
        <f>'[8]FY14 Projections by grd (PCS)'!E86</f>
        <v>0</v>
      </c>
      <c r="F86" s="261">
        <f>'[8]FY14 Projections by grd (PCS)'!F86</f>
        <v>0</v>
      </c>
      <c r="G86" s="261">
        <f>'[8]FY14 Projections by grd (PCS)'!G86</f>
        <v>0</v>
      </c>
      <c r="H86" s="261">
        <f>'[8]FY14 Projections by grd (PCS)'!H86</f>
        <v>0</v>
      </c>
      <c r="I86" s="261">
        <f>'[8]FY14 Projections by grd (PCS)'!I86</f>
        <v>0</v>
      </c>
      <c r="J86" s="261">
        <f>'[8]FY14 Projections by grd (PCS)'!J86</f>
        <v>75</v>
      </c>
      <c r="K86" s="261">
        <f>'[8]FY14 Projections by grd (PCS)'!K86</f>
        <v>70</v>
      </c>
      <c r="L86" s="261">
        <f>'[8]FY14 Projections by grd (PCS)'!L86</f>
        <v>70</v>
      </c>
      <c r="M86" s="261">
        <f>'[8]FY14 Projections by grd (PCS)'!M86</f>
        <v>0</v>
      </c>
      <c r="N86" s="261">
        <f>'[8]FY14 Projections by grd (PCS)'!N86</f>
        <v>0</v>
      </c>
      <c r="O86" s="261">
        <f>'[8]FY14 Projections by grd (PCS)'!O86</f>
        <v>0</v>
      </c>
      <c r="P86" s="261">
        <f>'[8]FY14 Projections by grd (PCS)'!P86</f>
        <v>0</v>
      </c>
      <c r="Q86" s="261">
        <f>'[8]FY14 Projections by grd (PCS)'!Q86</f>
        <v>0</v>
      </c>
      <c r="R86" s="261">
        <f>'[8]FY14 Projections by grd (PCS)'!R86</f>
        <v>0</v>
      </c>
      <c r="S86" s="261">
        <f>'[8]FY14 Projections by grd (PCS)'!S86</f>
        <v>0</v>
      </c>
      <c r="T86" s="261">
        <f>'[8]FY14 Projections by grd (PCS)'!T86</f>
        <v>0</v>
      </c>
      <c r="U86" s="262">
        <f>SUM(B86:T86)</f>
        <v>215</v>
      </c>
      <c r="Y86" s="264" t="str">
        <f t="shared" si="3"/>
        <v>Enrollment ceiling increase required</v>
      </c>
    </row>
    <row r="87" spans="1:28" hidden="1">
      <c r="A87" s="261" t="s">
        <v>561</v>
      </c>
      <c r="B87" s="261">
        <f>'[8]FY14 Projections by grd (PCS)'!B87</f>
        <v>0</v>
      </c>
      <c r="C87" s="261">
        <f>'[8]FY14 Projections by grd (PCS)'!C87</f>
        <v>0</v>
      </c>
      <c r="D87" s="261">
        <f>'[8]FY14 Projections by grd (PCS)'!D87</f>
        <v>0</v>
      </c>
      <c r="E87" s="261">
        <f>'[8]FY14 Projections by grd (PCS)'!E87</f>
        <v>0</v>
      </c>
      <c r="F87" s="261">
        <f>'[8]FY14 Projections by grd (PCS)'!F87</f>
        <v>0</v>
      </c>
      <c r="G87" s="261">
        <f>'[8]FY14 Projections by grd (PCS)'!G87</f>
        <v>0</v>
      </c>
      <c r="H87" s="261">
        <f>'[8]FY14 Projections by grd (PCS)'!H87</f>
        <v>0</v>
      </c>
      <c r="I87" s="261">
        <f>'[8]FY14 Projections by grd (PCS)'!I87</f>
        <v>0</v>
      </c>
      <c r="J87" s="261">
        <f>'[8]FY14 Projections by grd (PCS)'!J87</f>
        <v>0</v>
      </c>
      <c r="K87" s="261">
        <f>'[8]FY14 Projections by grd (PCS)'!K87</f>
        <v>0</v>
      </c>
      <c r="L87" s="261">
        <f>'[8]FY14 Projections by grd (PCS)'!L87</f>
        <v>0</v>
      </c>
      <c r="M87" s="261">
        <f>'[8]FY14 Projections by grd (PCS)'!M87</f>
        <v>0</v>
      </c>
      <c r="N87" s="261">
        <f>'[8]FY14 Projections by grd (PCS)'!N87</f>
        <v>0</v>
      </c>
      <c r="O87" s="261">
        <f>'[8]FY14 Projections by grd (PCS)'!O87</f>
        <v>0</v>
      </c>
      <c r="P87" s="261">
        <f>'[8]FY14 Projections by grd (PCS)'!P87</f>
        <v>0</v>
      </c>
      <c r="Q87" s="261">
        <f>'[8]FY14 Projections by grd (PCS)'!Q87</f>
        <v>0</v>
      </c>
      <c r="R87" s="261">
        <f>'[8]FY14 Projections by grd (PCS)'!R87</f>
        <v>0</v>
      </c>
      <c r="S87" s="261">
        <f>'[8]FY14 Projections by grd (PCS)'!S87</f>
        <v>150</v>
      </c>
      <c r="T87" s="261">
        <f>'[8]FY14 Projections by grd (PCS)'!T87</f>
        <v>0</v>
      </c>
      <c r="U87" s="262">
        <f t="shared" si="2"/>
        <v>150</v>
      </c>
      <c r="Y87" s="264" t="str">
        <f t="shared" si="3"/>
        <v>Enrollment ceiling increase required</v>
      </c>
    </row>
    <row r="88" spans="1:28">
      <c r="A88" s="261" t="s">
        <v>393</v>
      </c>
      <c r="B88" s="261">
        <f>'[8]FY14 Projections by grd (PCS)'!B88</f>
        <v>50</v>
      </c>
      <c r="C88" s="261">
        <f>'[8]FY14 Projections by grd (PCS)'!C88</f>
        <v>75</v>
      </c>
      <c r="D88" s="261">
        <f>'[8]FY14 Projections by grd (PCS)'!D88</f>
        <v>75</v>
      </c>
      <c r="E88" s="261">
        <f>'[8]FY14 Projections by grd (PCS)'!E88</f>
        <v>75</v>
      </c>
      <c r="F88" s="261">
        <f>'[8]FY14 Projections by grd (PCS)'!F88</f>
        <v>75</v>
      </c>
      <c r="G88" s="261">
        <f>'[8]FY14 Projections by grd (PCS)'!G88</f>
        <v>50</v>
      </c>
      <c r="H88" s="261">
        <f>'[8]FY14 Projections by grd (PCS)'!H88</f>
        <v>50</v>
      </c>
      <c r="I88" s="261">
        <f>'[8]FY14 Projections by grd (PCS)'!I88</f>
        <v>50</v>
      </c>
      <c r="J88" s="261">
        <f>'[8]FY14 Projections by grd (PCS)'!J88</f>
        <v>40</v>
      </c>
      <c r="K88" s="261">
        <f>'[8]FY14 Projections by grd (PCS)'!K88</f>
        <v>30</v>
      </c>
      <c r="L88" s="261">
        <f>'[8]FY14 Projections by grd (PCS)'!L88</f>
        <v>30</v>
      </c>
      <c r="M88" s="261">
        <f>'[8]FY14 Projections by grd (PCS)'!M88</f>
        <v>0</v>
      </c>
      <c r="N88" s="261">
        <f>'[8]FY14 Projections by grd (PCS)'!N88</f>
        <v>0</v>
      </c>
      <c r="O88" s="261">
        <f>'[8]FY14 Projections by grd (PCS)'!O88</f>
        <v>0</v>
      </c>
      <c r="P88" s="261">
        <f>'[8]FY14 Projections by grd (PCS)'!P88</f>
        <v>0</v>
      </c>
      <c r="Q88" s="261">
        <f>'[8]FY14 Projections by grd (PCS)'!Q88</f>
        <v>0</v>
      </c>
      <c r="R88" s="261">
        <f>'[8]FY14 Projections by grd (PCS)'!R88</f>
        <v>0</v>
      </c>
      <c r="S88" s="261">
        <f>'[8]FY14 Projections by grd (PCS)'!S88</f>
        <v>0</v>
      </c>
      <c r="T88" s="261">
        <f>'[8]FY14 Projections by grd (PCS)'!T88</f>
        <v>0</v>
      </c>
      <c r="U88" s="262">
        <f t="shared" si="2"/>
        <v>600</v>
      </c>
      <c r="W88" s="261">
        <v>855</v>
      </c>
      <c r="Y88" s="264" t="str">
        <f t="shared" si="3"/>
        <v>Enrollment ceiling increase not required</v>
      </c>
    </row>
    <row r="89" spans="1:28">
      <c r="A89" s="261" t="s">
        <v>562</v>
      </c>
      <c r="B89" s="261">
        <f>'[8]FY14 Projections by grd (PCS)'!B89</f>
        <v>40</v>
      </c>
      <c r="C89" s="261">
        <f>'[8]FY14 Projections by grd (PCS)'!C89</f>
        <v>63</v>
      </c>
      <c r="D89" s="261">
        <f>'[8]FY14 Projections by grd (PCS)'!D89</f>
        <v>69</v>
      </c>
      <c r="E89" s="261">
        <f>'[8]FY14 Projections by grd (PCS)'!E89</f>
        <v>69</v>
      </c>
      <c r="F89" s="266">
        <f>'[8]FY14 Projections by grd (PCS)'!F89</f>
        <v>69</v>
      </c>
      <c r="G89" s="261">
        <f>'[8]FY14 Projections by grd (PCS)'!G89</f>
        <v>0</v>
      </c>
      <c r="H89" s="266">
        <f>'[8]FY14 Projections by grd (PCS)'!H89</f>
        <v>11</v>
      </c>
      <c r="I89" s="266">
        <f>'[8]FY14 Projections by grd (PCS)'!I89</f>
        <v>11</v>
      </c>
      <c r="J89" s="261">
        <f>'[8]FY14 Projections by grd (PCS)'!J89</f>
        <v>0</v>
      </c>
      <c r="K89" s="261">
        <f>'[8]FY14 Projections by grd (PCS)'!K89</f>
        <v>0</v>
      </c>
      <c r="L89" s="261">
        <f>'[8]FY14 Projections by grd (PCS)'!L89</f>
        <v>0</v>
      </c>
      <c r="M89" s="261">
        <f>'[8]FY14 Projections by grd (PCS)'!M89</f>
        <v>0</v>
      </c>
      <c r="N89" s="261">
        <f>'[8]FY14 Projections by grd (PCS)'!N89</f>
        <v>0</v>
      </c>
      <c r="O89" s="261">
        <f>'[8]FY14 Projections by grd (PCS)'!O89</f>
        <v>0</v>
      </c>
      <c r="P89" s="261">
        <f>'[8]FY14 Projections by grd (PCS)'!P89</f>
        <v>0</v>
      </c>
      <c r="Q89" s="261">
        <f>'[8]FY14 Projections by grd (PCS)'!Q89</f>
        <v>0</v>
      </c>
      <c r="R89" s="261">
        <f>'[8]FY14 Projections by grd (PCS)'!R89</f>
        <v>0</v>
      </c>
      <c r="S89" s="261">
        <f>'[8]FY14 Projections by grd (PCS)'!S89</f>
        <v>0</v>
      </c>
      <c r="T89" s="261">
        <f>'[8]FY14 Projections by grd (PCS)'!T89</f>
        <v>0</v>
      </c>
      <c r="U89" s="262">
        <f t="shared" si="2"/>
        <v>332</v>
      </c>
      <c r="W89" s="261">
        <v>324</v>
      </c>
      <c r="Y89" s="264" t="str">
        <f t="shared" si="3"/>
        <v>Enrollment ceiling increase required</v>
      </c>
      <c r="AB89" s="264" t="s">
        <v>609</v>
      </c>
    </row>
    <row r="90" spans="1:28">
      <c r="A90" s="261" t="s">
        <v>564</v>
      </c>
      <c r="B90" s="261">
        <f>'[8]FY14 Projections by grd (PCS)'!B90</f>
        <v>0</v>
      </c>
      <c r="C90" s="261">
        <f>'[8]FY14 Projections by grd (PCS)'!C90</f>
        <v>0</v>
      </c>
      <c r="D90" s="261">
        <f>'[8]FY14 Projections by grd (PCS)'!D90</f>
        <v>0</v>
      </c>
      <c r="E90" s="261">
        <f>'[8]FY14 Projections by grd (PCS)'!E90</f>
        <v>0</v>
      </c>
      <c r="F90" s="261">
        <f>'[8]FY14 Projections by grd (PCS)'!F90</f>
        <v>0</v>
      </c>
      <c r="G90" s="261">
        <f>'[8]FY14 Projections by grd (PCS)'!G90</f>
        <v>0</v>
      </c>
      <c r="H90" s="261">
        <f>'[8]FY14 Projections by grd (PCS)'!H90</f>
        <v>0</v>
      </c>
      <c r="I90" s="261">
        <f>'[8]FY14 Projections by grd (PCS)'!I90</f>
        <v>0</v>
      </c>
      <c r="J90" s="261">
        <f>'[8]FY14 Projections by grd (PCS)'!J90</f>
        <v>0</v>
      </c>
      <c r="K90" s="261">
        <f>'[8]FY14 Projections by grd (PCS)'!K90</f>
        <v>0</v>
      </c>
      <c r="L90" s="261">
        <f>'[8]FY14 Projections by grd (PCS)'!L90</f>
        <v>0</v>
      </c>
      <c r="M90" s="261">
        <f>'[8]FY14 Projections by grd (PCS)'!M90</f>
        <v>110</v>
      </c>
      <c r="N90" s="261">
        <f>'[8]FY14 Projections by grd (PCS)'!N90</f>
        <v>95</v>
      </c>
      <c r="O90" s="261">
        <f>'[8]FY14 Projections by grd (PCS)'!O90</f>
        <v>85</v>
      </c>
      <c r="P90" s="261">
        <f>'[8]FY14 Projections by grd (PCS)'!P90</f>
        <v>65</v>
      </c>
      <c r="Q90" s="261">
        <f>'[8]FY14 Projections by grd (PCS)'!Q90</f>
        <v>0</v>
      </c>
      <c r="R90" s="261">
        <f>'[8]FY14 Projections by grd (PCS)'!R90</f>
        <v>0</v>
      </c>
      <c r="S90" s="261">
        <f>'[8]FY14 Projections by grd (PCS)'!S90</f>
        <v>0</v>
      </c>
      <c r="T90" s="261">
        <f>'[8]FY14 Projections by grd (PCS)'!T90</f>
        <v>0</v>
      </c>
      <c r="U90" s="262">
        <f t="shared" si="2"/>
        <v>355</v>
      </c>
      <c r="W90" s="267">
        <v>200</v>
      </c>
      <c r="Y90" s="264" t="str">
        <f t="shared" si="3"/>
        <v>Enrollment ceiling increase required</v>
      </c>
      <c r="AB90" s="264" t="s">
        <v>610</v>
      </c>
    </row>
    <row r="91" spans="1:28">
      <c r="A91" s="261" t="s">
        <v>401</v>
      </c>
      <c r="B91" s="261">
        <f>'[8]FY14 Projections by grd (PCS)'!B91</f>
        <v>0</v>
      </c>
      <c r="C91" s="261">
        <f>'[8]FY14 Projections by grd (PCS)'!C91</f>
        <v>0</v>
      </c>
      <c r="D91" s="261">
        <f>'[8]FY14 Projections by grd (PCS)'!D91</f>
        <v>0</v>
      </c>
      <c r="E91" s="261">
        <f>'[8]FY14 Projections by grd (PCS)'!E91</f>
        <v>0</v>
      </c>
      <c r="F91" s="261">
        <f>'[8]FY14 Projections by grd (PCS)'!F91</f>
        <v>0</v>
      </c>
      <c r="G91" s="261">
        <f>'[8]FY14 Projections by grd (PCS)'!G91</f>
        <v>0</v>
      </c>
      <c r="H91" s="261">
        <f>'[8]FY14 Projections by grd (PCS)'!H91</f>
        <v>0</v>
      </c>
      <c r="I91" s="261">
        <f>'[8]FY14 Projections by grd (PCS)'!I91</f>
        <v>0</v>
      </c>
      <c r="J91" s="261">
        <f>'[8]FY14 Projections by grd (PCS)'!J91</f>
        <v>30</v>
      </c>
      <c r="K91" s="261">
        <f>'[8]FY14 Projections by grd (PCS)'!K91</f>
        <v>30</v>
      </c>
      <c r="L91" s="261">
        <f>'[8]FY14 Projections by grd (PCS)'!L91</f>
        <v>30</v>
      </c>
      <c r="M91" s="261">
        <f>'[8]FY14 Projections by grd (PCS)'!M91</f>
        <v>75</v>
      </c>
      <c r="N91" s="261">
        <f>'[8]FY14 Projections by grd (PCS)'!N91</f>
        <v>90</v>
      </c>
      <c r="O91" s="261">
        <f>'[8]FY14 Projections by grd (PCS)'!O91</f>
        <v>85</v>
      </c>
      <c r="P91" s="261">
        <f>'[8]FY14 Projections by grd (PCS)'!P91</f>
        <v>85</v>
      </c>
      <c r="Q91" s="261">
        <f>'[8]FY14 Projections by grd (PCS)'!Q91</f>
        <v>0</v>
      </c>
      <c r="R91" s="261">
        <f>'[8]FY14 Projections by grd (PCS)'!R91</f>
        <v>0</v>
      </c>
      <c r="S91" s="261">
        <f>'[8]FY14 Projections by grd (PCS)'!S91</f>
        <v>0</v>
      </c>
      <c r="T91" s="261">
        <f>'[8]FY14 Projections by grd (PCS)'!T91</f>
        <v>0</v>
      </c>
      <c r="U91" s="262">
        <f t="shared" si="2"/>
        <v>425</v>
      </c>
      <c r="W91" s="261">
        <v>425</v>
      </c>
      <c r="Y91" s="264" t="str">
        <f t="shared" si="3"/>
        <v>Enrollment ceiling increase not required</v>
      </c>
    </row>
    <row r="92" spans="1:28">
      <c r="A92" s="261" t="s">
        <v>405</v>
      </c>
      <c r="B92" s="261">
        <f>'[8]FY14 Projections by grd (PCS)'!B92</f>
        <v>0</v>
      </c>
      <c r="C92" s="261">
        <f>'[8]FY14 Projections by grd (PCS)'!C92</f>
        <v>0</v>
      </c>
      <c r="D92" s="261">
        <f>'[8]FY14 Projections by grd (PCS)'!D92</f>
        <v>0</v>
      </c>
      <c r="E92" s="261">
        <f>'[8]FY14 Projections by grd (PCS)'!E92</f>
        <v>0</v>
      </c>
      <c r="F92" s="261">
        <f>'[8]FY14 Projections by grd (PCS)'!F92</f>
        <v>0</v>
      </c>
      <c r="G92" s="261">
        <f>'[8]FY14 Projections by grd (PCS)'!G92</f>
        <v>0</v>
      </c>
      <c r="H92" s="261">
        <f>'[8]FY14 Projections by grd (PCS)'!H92</f>
        <v>0</v>
      </c>
      <c r="I92" s="261">
        <f>'[8]FY14 Projections by grd (PCS)'!I92</f>
        <v>0</v>
      </c>
      <c r="J92" s="261">
        <f>'[8]FY14 Projections by grd (PCS)'!J92</f>
        <v>120</v>
      </c>
      <c r="K92" s="261">
        <f>'[8]FY14 Projections by grd (PCS)'!K92</f>
        <v>160</v>
      </c>
      <c r="L92" s="261">
        <f>'[8]FY14 Projections by grd (PCS)'!L92</f>
        <v>170</v>
      </c>
      <c r="M92" s="261">
        <f>'[8]FY14 Projections by grd (PCS)'!M92</f>
        <v>125</v>
      </c>
      <c r="N92" s="266">
        <f>'[8]FY14 Projections by grd (PCS)'!N92</f>
        <v>100</v>
      </c>
      <c r="O92" s="261">
        <f>'[8]FY14 Projections by grd (PCS)'!O92</f>
        <v>0</v>
      </c>
      <c r="P92" s="261">
        <f>'[8]FY14 Projections by grd (PCS)'!P92</f>
        <v>0</v>
      </c>
      <c r="Q92" s="261">
        <f>'[8]FY14 Projections by grd (PCS)'!Q92</f>
        <v>0</v>
      </c>
      <c r="R92" s="261">
        <f>'[8]FY14 Projections by grd (PCS)'!R92</f>
        <v>0</v>
      </c>
      <c r="S92" s="261">
        <f>'[8]FY14 Projections by grd (PCS)'!S92</f>
        <v>0</v>
      </c>
      <c r="T92" s="261">
        <f>'[8]FY14 Projections by grd (PCS)'!T92</f>
        <v>0</v>
      </c>
      <c r="U92" s="262">
        <f t="shared" si="2"/>
        <v>675</v>
      </c>
      <c r="W92" s="261">
        <v>725</v>
      </c>
      <c r="Y92" s="264" t="str">
        <f t="shared" si="3"/>
        <v>Enrollment ceiling increase not required</v>
      </c>
    </row>
    <row r="93" spans="1:28">
      <c r="A93" s="261" t="s">
        <v>567</v>
      </c>
      <c r="B93" s="261">
        <f>'[8]FY14 Projections by grd (PCS)'!B93</f>
        <v>92</v>
      </c>
      <c r="C93" s="261">
        <f>'[8]FY14 Projections by grd (PCS)'!C93</f>
        <v>33</v>
      </c>
      <c r="D93" s="261">
        <f>'[8]FY14 Projections by grd (PCS)'!D93</f>
        <v>45</v>
      </c>
      <c r="E93" s="261">
        <f>'[8]FY14 Projections by grd (PCS)'!E93</f>
        <v>44</v>
      </c>
      <c r="F93" s="261">
        <f>'[8]FY14 Projections by grd (PCS)'!F93</f>
        <v>41</v>
      </c>
      <c r="G93" s="261">
        <f>'[8]FY14 Projections by grd (PCS)'!G93</f>
        <v>39</v>
      </c>
      <c r="H93" s="261">
        <f>'[8]FY14 Projections by grd (PCS)'!H93</f>
        <v>42</v>
      </c>
      <c r="I93" s="261">
        <f>'[8]FY14 Projections by grd (PCS)'!I93</f>
        <v>43</v>
      </c>
      <c r="J93" s="261">
        <f>'[8]FY14 Projections by grd (PCS)'!J93</f>
        <v>103</v>
      </c>
      <c r="K93" s="261">
        <f>'[8]FY14 Projections by grd (PCS)'!K93</f>
        <v>57</v>
      </c>
      <c r="L93" s="261">
        <f>'[8]FY14 Projections by grd (PCS)'!L93</f>
        <v>80</v>
      </c>
      <c r="M93" s="261">
        <f>'[8]FY14 Projections by grd (PCS)'!M93</f>
        <v>129</v>
      </c>
      <c r="N93" s="261">
        <f>'[8]FY14 Projections by grd (PCS)'!N93</f>
        <v>129</v>
      </c>
      <c r="O93" s="261">
        <f>'[8]FY14 Projections by grd (PCS)'!O93</f>
        <v>104</v>
      </c>
      <c r="P93" s="261">
        <f>'[8]FY14 Projections by grd (PCS)'!P93</f>
        <v>69</v>
      </c>
      <c r="Q93" s="261">
        <f>'[8]FY14 Projections by grd (PCS)'!Q93</f>
        <v>0</v>
      </c>
      <c r="R93" s="261">
        <f>'[8]FY14 Projections by grd (PCS)'!R93</f>
        <v>0</v>
      </c>
      <c r="S93" s="261">
        <f>'[8]FY14 Projections by grd (PCS)'!S93</f>
        <v>0</v>
      </c>
      <c r="T93" s="261">
        <f>'[8]FY14 Projections by grd (PCS)'!T93</f>
        <v>0</v>
      </c>
      <c r="U93" s="262">
        <f t="shared" si="2"/>
        <v>1050</v>
      </c>
      <c r="W93" s="261">
        <v>1050</v>
      </c>
      <c r="Y93" s="264" t="str">
        <f t="shared" si="3"/>
        <v>Enrollment ceiling increase not required</v>
      </c>
    </row>
    <row r="94" spans="1:28">
      <c r="A94" s="261" t="s">
        <v>411</v>
      </c>
      <c r="B94" s="261">
        <f>'[8]FY14 Projections by grd (PCS)'!B94</f>
        <v>48</v>
      </c>
      <c r="C94" s="261">
        <f>'[8]FY14 Projections by grd (PCS)'!C94</f>
        <v>60</v>
      </c>
      <c r="D94" s="261">
        <f>'[8]FY14 Projections by grd (PCS)'!D94</f>
        <v>50</v>
      </c>
      <c r="E94" s="261">
        <f>'[8]FY14 Projections by grd (PCS)'!E94</f>
        <v>50</v>
      </c>
      <c r="F94" s="261">
        <f>'[8]FY14 Projections by grd (PCS)'!F94</f>
        <v>50</v>
      </c>
      <c r="G94" s="261">
        <f>'[8]FY14 Projections by grd (PCS)'!G94</f>
        <v>50</v>
      </c>
      <c r="H94" s="261">
        <f>'[8]FY14 Projections by grd (PCS)'!H94</f>
        <v>50</v>
      </c>
      <c r="I94" s="261">
        <f>'[8]FY14 Projections by grd (PCS)'!I94</f>
        <v>50</v>
      </c>
      <c r="J94" s="261">
        <f>'[8]FY14 Projections by grd (PCS)'!J94</f>
        <v>50</v>
      </c>
      <c r="K94" s="261">
        <f>'[8]FY14 Projections by grd (PCS)'!K94</f>
        <v>25</v>
      </c>
      <c r="L94" s="261">
        <f>'[8]FY14 Projections by grd (PCS)'!L94</f>
        <v>25</v>
      </c>
      <c r="M94" s="261">
        <f>'[8]FY14 Projections by grd (PCS)'!M94</f>
        <v>0</v>
      </c>
      <c r="N94" s="261">
        <f>'[8]FY14 Projections by grd (PCS)'!N94</f>
        <v>0</v>
      </c>
      <c r="O94" s="261">
        <f>'[8]FY14 Projections by grd (PCS)'!O94</f>
        <v>0</v>
      </c>
      <c r="P94" s="261">
        <f>'[8]FY14 Projections by grd (PCS)'!P94</f>
        <v>0</v>
      </c>
      <c r="Q94" s="261">
        <f>'[8]FY14 Projections by grd (PCS)'!Q94</f>
        <v>0</v>
      </c>
      <c r="R94" s="261">
        <f>'[8]FY14 Projections by grd (PCS)'!R94</f>
        <v>0</v>
      </c>
      <c r="S94" s="261">
        <f>'[8]FY14 Projections by grd (PCS)'!S94</f>
        <v>0</v>
      </c>
      <c r="T94" s="261">
        <f>'[8]FY14 Projections by grd (PCS)'!T94</f>
        <v>0</v>
      </c>
      <c r="U94" s="262">
        <f t="shared" si="2"/>
        <v>508</v>
      </c>
      <c r="W94" s="261">
        <v>558</v>
      </c>
      <c r="Y94" s="264" t="str">
        <f t="shared" si="3"/>
        <v>Enrollment ceiling increase not required</v>
      </c>
    </row>
    <row r="95" spans="1:28">
      <c r="A95" s="261" t="s">
        <v>568</v>
      </c>
      <c r="B95" s="261">
        <f>'[8]FY14 Projections by grd (PCS)'!B95</f>
        <v>0</v>
      </c>
      <c r="C95" s="261">
        <f>'[8]FY14 Projections by grd (PCS)'!C95</f>
        <v>0</v>
      </c>
      <c r="D95" s="261">
        <f>'[8]FY14 Projections by grd (PCS)'!D95</f>
        <v>0</v>
      </c>
      <c r="E95" s="261">
        <f>'[8]FY14 Projections by grd (PCS)'!E95</f>
        <v>0</v>
      </c>
      <c r="F95" s="261">
        <f>'[8]FY14 Projections by grd (PCS)'!F95</f>
        <v>0</v>
      </c>
      <c r="G95" s="261">
        <f>'[8]FY14 Projections by grd (PCS)'!G95</f>
        <v>0</v>
      </c>
      <c r="H95" s="261">
        <f>'[8]FY14 Projections by grd (PCS)'!H95</f>
        <v>0</v>
      </c>
      <c r="I95" s="261">
        <f>'[8]FY14 Projections by grd (PCS)'!I95</f>
        <v>0</v>
      </c>
      <c r="J95" s="261">
        <f>'[8]FY14 Projections by grd (PCS)'!J95</f>
        <v>0</v>
      </c>
      <c r="K95" s="261">
        <f>'[8]FY14 Projections by grd (PCS)'!K95</f>
        <v>0</v>
      </c>
      <c r="L95" s="261">
        <f>'[8]FY14 Projections by grd (PCS)'!L95</f>
        <v>75</v>
      </c>
      <c r="M95" s="261">
        <f>'[8]FY14 Projections by grd (PCS)'!M95</f>
        <v>100</v>
      </c>
      <c r="N95" s="261">
        <f>'[8]FY14 Projections by grd (PCS)'!N95</f>
        <v>100</v>
      </c>
      <c r="O95" s="266">
        <f>'[8]FY14 Projections by grd (PCS)'!O95</f>
        <v>100</v>
      </c>
      <c r="P95" s="261">
        <f>'[8]FY14 Projections by grd (PCS)'!P95</f>
        <v>0</v>
      </c>
      <c r="Q95" s="261">
        <f>'[8]FY14 Projections by grd (PCS)'!Q95</f>
        <v>0</v>
      </c>
      <c r="R95" s="261">
        <f>'[8]FY14 Projections by grd (PCS)'!R95</f>
        <v>0</v>
      </c>
      <c r="S95" s="261">
        <f>'[8]FY14 Projections by grd (PCS)'!S95</f>
        <v>0</v>
      </c>
      <c r="T95" s="261">
        <f>'[8]FY14 Projections by grd (PCS)'!T95</f>
        <v>0</v>
      </c>
      <c r="U95" s="262">
        <f t="shared" si="2"/>
        <v>375</v>
      </c>
      <c r="W95" s="264">
        <v>375</v>
      </c>
      <c r="Y95" s="264" t="str">
        <f t="shared" si="3"/>
        <v>Enrollment ceiling increase not required</v>
      </c>
    </row>
    <row r="96" spans="1:28">
      <c r="A96" s="261" t="s">
        <v>415</v>
      </c>
      <c r="B96" s="261">
        <f>'[8]FY14 Projections by grd (PCS)'!B96</f>
        <v>20</v>
      </c>
      <c r="C96" s="261">
        <f>'[8]FY14 Projections by grd (PCS)'!C96</f>
        <v>20</v>
      </c>
      <c r="D96" s="261">
        <f>'[8]FY14 Projections by grd (PCS)'!D96</f>
        <v>16</v>
      </c>
      <c r="E96" s="261">
        <f>'[8]FY14 Projections by grd (PCS)'!E96</f>
        <v>32</v>
      </c>
      <c r="F96" s="261">
        <f>'[8]FY14 Projections by grd (PCS)'!F96</f>
        <v>0</v>
      </c>
      <c r="G96" s="261">
        <f>'[8]FY14 Projections by grd (PCS)'!G96</f>
        <v>0</v>
      </c>
      <c r="H96" s="261">
        <f>'[8]FY14 Projections by grd (PCS)'!H96</f>
        <v>16</v>
      </c>
      <c r="I96" s="261">
        <f>'[8]FY14 Projections by grd (PCS)'!I96</f>
        <v>0</v>
      </c>
      <c r="J96" s="261">
        <f>'[8]FY14 Projections by grd (PCS)'!J96</f>
        <v>16</v>
      </c>
      <c r="K96" s="261">
        <f>'[8]FY14 Projections by grd (PCS)'!K96</f>
        <v>0</v>
      </c>
      <c r="L96" s="261">
        <f>'[8]FY14 Projections by grd (PCS)'!L96</f>
        <v>0</v>
      </c>
      <c r="M96" s="261">
        <f>'[8]FY14 Projections by grd (PCS)'!M96</f>
        <v>0</v>
      </c>
      <c r="N96" s="261">
        <f>'[8]FY14 Projections by grd (PCS)'!N96</f>
        <v>0</v>
      </c>
      <c r="O96" s="261">
        <f>'[8]FY14 Projections by grd (PCS)'!O96</f>
        <v>0</v>
      </c>
      <c r="P96" s="261">
        <f>'[8]FY14 Projections by grd (PCS)'!P96</f>
        <v>0</v>
      </c>
      <c r="Q96" s="261">
        <f>'[8]FY14 Projections by grd (PCS)'!Q96</f>
        <v>0</v>
      </c>
      <c r="R96" s="261">
        <f>'[8]FY14 Projections by grd (PCS)'!R96</f>
        <v>0</v>
      </c>
      <c r="S96" s="261">
        <f>'[8]FY14 Projections by grd (PCS)'!S96</f>
        <v>0</v>
      </c>
      <c r="T96" s="261">
        <f>'[8]FY14 Projections by grd (PCS)'!T96</f>
        <v>0</v>
      </c>
      <c r="U96" s="262">
        <f t="shared" si="2"/>
        <v>120</v>
      </c>
      <c r="W96" s="264">
        <v>120</v>
      </c>
      <c r="Y96" s="264" t="str">
        <f t="shared" si="3"/>
        <v>Enrollment ceiling increase not required</v>
      </c>
    </row>
    <row r="97" spans="1:28">
      <c r="A97" s="261" t="s">
        <v>569</v>
      </c>
      <c r="B97" s="261">
        <f>'[8]FY14 Projections by grd (PCS)'!B97</f>
        <v>0</v>
      </c>
      <c r="C97" s="261">
        <f>'[8]FY14 Projections by grd (PCS)'!C97</f>
        <v>0</v>
      </c>
      <c r="D97" s="261">
        <f>'[8]FY14 Projections by grd (PCS)'!D97</f>
        <v>0</v>
      </c>
      <c r="E97" s="261">
        <f>'[8]FY14 Projections by grd (PCS)'!E97</f>
        <v>0</v>
      </c>
      <c r="F97" s="261">
        <f>'[8]FY14 Projections by grd (PCS)'!F97</f>
        <v>0</v>
      </c>
      <c r="G97" s="261">
        <f>'[8]FY14 Projections by grd (PCS)'!G97</f>
        <v>0</v>
      </c>
      <c r="H97" s="261">
        <f>'[8]FY14 Projections by grd (PCS)'!H97</f>
        <v>0</v>
      </c>
      <c r="I97" s="261">
        <f>'[8]FY14 Projections by grd (PCS)'!I97</f>
        <v>0</v>
      </c>
      <c r="J97" s="261">
        <f>'[8]FY14 Projections by grd (PCS)'!J97</f>
        <v>85</v>
      </c>
      <c r="K97" s="261">
        <f>'[8]FY14 Projections by grd (PCS)'!K97</f>
        <v>81</v>
      </c>
      <c r="L97" s="261">
        <f>'[8]FY14 Projections by grd (PCS)'!L97</f>
        <v>58</v>
      </c>
      <c r="M97" s="261">
        <f>'[8]FY14 Projections by grd (PCS)'!M97</f>
        <v>31</v>
      </c>
      <c r="N97" s="261">
        <f>'[8]FY14 Projections by grd (PCS)'!N97</f>
        <v>39</v>
      </c>
      <c r="O97" s="261">
        <f>'[8]FY14 Projections by grd (PCS)'!O97</f>
        <v>21</v>
      </c>
      <c r="P97" s="261">
        <f>'[8]FY14 Projections by grd (PCS)'!P97</f>
        <v>25</v>
      </c>
      <c r="Q97" s="261">
        <f>'[8]FY14 Projections by grd (PCS)'!Q97</f>
        <v>0</v>
      </c>
      <c r="R97" s="261">
        <f>'[8]FY14 Projections by grd (PCS)'!R97</f>
        <v>0</v>
      </c>
      <c r="S97" s="261">
        <f>'[8]FY14 Projections by grd (PCS)'!S97</f>
        <v>0</v>
      </c>
      <c r="T97" s="261">
        <f>'[8]FY14 Projections by grd (PCS)'!T97</f>
        <v>0</v>
      </c>
      <c r="U97" s="262">
        <f t="shared" si="2"/>
        <v>340</v>
      </c>
      <c r="W97" s="264">
        <v>947</v>
      </c>
      <c r="Y97" s="264" t="str">
        <f t="shared" si="3"/>
        <v>Enrollment ceiling increase not required</v>
      </c>
    </row>
    <row r="98" spans="1:28">
      <c r="A98" s="265" t="s">
        <v>570</v>
      </c>
      <c r="B98" s="266">
        <f>'[8]FY14 Projections by grd (PCS)'!B98</f>
        <v>44</v>
      </c>
      <c r="C98" s="266">
        <f>'[8]FY14 Projections by grd (PCS)'!C98</f>
        <v>40</v>
      </c>
      <c r="D98" s="266">
        <f>'[8]FY14 Projections by grd (PCS)'!D98</f>
        <v>40</v>
      </c>
      <c r="E98" s="264">
        <f>'[8]FY14 Projections by grd (PCS)'!E98</f>
        <v>0</v>
      </c>
      <c r="F98" s="264">
        <f>'[8]FY14 Projections by grd (PCS)'!F98</f>
        <v>0</v>
      </c>
      <c r="G98" s="264">
        <f>'[8]FY14 Projections by grd (PCS)'!G98</f>
        <v>0</v>
      </c>
      <c r="H98" s="264">
        <f>'[8]FY14 Projections by grd (PCS)'!H98</f>
        <v>0</v>
      </c>
      <c r="I98" s="264">
        <f>'[8]FY14 Projections by grd (PCS)'!I98</f>
        <v>0</v>
      </c>
      <c r="J98" s="264">
        <f>'[8]FY14 Projections by grd (PCS)'!J98</f>
        <v>0</v>
      </c>
      <c r="K98" s="264">
        <f>'[8]FY14 Projections by grd (PCS)'!K98</f>
        <v>0</v>
      </c>
      <c r="L98" s="264">
        <f>'[8]FY14 Projections by grd (PCS)'!L98</f>
        <v>0</v>
      </c>
      <c r="M98" s="264">
        <f>'[8]FY14 Projections by grd (PCS)'!M98</f>
        <v>0</v>
      </c>
      <c r="N98" s="264">
        <f>'[8]FY14 Projections by grd (PCS)'!N98</f>
        <v>0</v>
      </c>
      <c r="O98" s="264">
        <f>'[8]FY14 Projections by grd (PCS)'!O98</f>
        <v>0</v>
      </c>
      <c r="P98" s="264">
        <f>'[8]FY14 Projections by grd (PCS)'!P98</f>
        <v>0</v>
      </c>
      <c r="Q98" s="264">
        <f>'[8]FY14 Projections by grd (PCS)'!Q98</f>
        <v>0</v>
      </c>
      <c r="R98" s="264">
        <f>'[8]FY14 Projections by grd (PCS)'!R98</f>
        <v>0</v>
      </c>
      <c r="S98" s="264">
        <f>'[8]FY14 Projections by grd (PCS)'!S98</f>
        <v>0</v>
      </c>
      <c r="T98" s="264">
        <f>'[8]FY14 Projections by grd (PCS)'!T98</f>
        <v>0</v>
      </c>
      <c r="U98" s="262">
        <f t="shared" si="2"/>
        <v>124</v>
      </c>
      <c r="W98" s="264">
        <v>150</v>
      </c>
      <c r="Y98" s="264" t="str">
        <f t="shared" si="3"/>
        <v>Enrollment ceiling increase not required</v>
      </c>
    </row>
    <row r="99" spans="1:28">
      <c r="A99" s="261" t="s">
        <v>421</v>
      </c>
      <c r="B99" s="261">
        <f>'[8]FY14 Projections by grd (PCS)'!B99</f>
        <v>0</v>
      </c>
      <c r="C99" s="261">
        <f>'[8]FY14 Projections by grd (PCS)'!C99</f>
        <v>0</v>
      </c>
      <c r="D99" s="261">
        <f>'[8]FY14 Projections by grd (PCS)'!D99</f>
        <v>0</v>
      </c>
      <c r="E99" s="261">
        <f>'[8]FY14 Projections by grd (PCS)'!E99</f>
        <v>0</v>
      </c>
      <c r="F99" s="261">
        <f>'[8]FY14 Projections by grd (PCS)'!F99</f>
        <v>0</v>
      </c>
      <c r="G99" s="261">
        <f>'[8]FY14 Projections by grd (PCS)'!G99</f>
        <v>0</v>
      </c>
      <c r="H99" s="261">
        <f>'[8]FY14 Projections by grd (PCS)'!H99</f>
        <v>0</v>
      </c>
      <c r="I99" s="261">
        <f>'[8]FY14 Projections by grd (PCS)'!I99</f>
        <v>0</v>
      </c>
      <c r="J99" s="261">
        <f>'[8]FY14 Projections by grd (PCS)'!J99</f>
        <v>0</v>
      </c>
      <c r="K99" s="261">
        <f>'[8]FY14 Projections by grd (PCS)'!K99</f>
        <v>0</v>
      </c>
      <c r="L99" s="261">
        <f>'[8]FY14 Projections by grd (PCS)'!L99</f>
        <v>0</v>
      </c>
      <c r="M99" s="261">
        <f>'[8]FY14 Projections by grd (PCS)'!M99</f>
        <v>0</v>
      </c>
      <c r="N99" s="261">
        <f>'[8]FY14 Projections by grd (PCS)'!N99</f>
        <v>0</v>
      </c>
      <c r="O99" s="261">
        <f>'[8]FY14 Projections by grd (PCS)'!O99</f>
        <v>0</v>
      </c>
      <c r="P99" s="261">
        <f>'[8]FY14 Projections by grd (PCS)'!P99</f>
        <v>0</v>
      </c>
      <c r="Q99" s="261">
        <f>'[8]FY14 Projections by grd (PCS)'!Q99</f>
        <v>0</v>
      </c>
      <c r="R99" s="261">
        <f>'[8]FY14 Projections by grd (PCS)'!R99</f>
        <v>0</v>
      </c>
      <c r="S99" s="261">
        <f>'[8]FY14 Projections by grd (PCS)'!S99</f>
        <v>0</v>
      </c>
      <c r="T99" s="261">
        <f>'[8]FY14 Projections by grd (PCS)'!T99</f>
        <v>0</v>
      </c>
      <c r="U99" s="262">
        <f t="shared" si="2"/>
        <v>0</v>
      </c>
      <c r="W99" s="264">
        <v>360</v>
      </c>
      <c r="Y99" s="264" t="str">
        <f t="shared" si="3"/>
        <v>Enrollment ceiling increase not required</v>
      </c>
    </row>
    <row r="100" spans="1:28">
      <c r="A100" s="261" t="s">
        <v>572</v>
      </c>
      <c r="B100" s="261">
        <f>'[8]FY14 Projections by grd (PCS)'!B100</f>
        <v>40</v>
      </c>
      <c r="C100" s="261">
        <f>'[8]FY14 Projections by grd (PCS)'!C100</f>
        <v>22</v>
      </c>
      <c r="D100" s="261">
        <f>'[8]FY14 Projections by grd (PCS)'!D100</f>
        <v>14</v>
      </c>
      <c r="E100" s="261">
        <f>'[8]FY14 Projections by grd (PCS)'!E100</f>
        <v>7</v>
      </c>
      <c r="F100" s="266">
        <f>'[8]FY14 Projections by grd (PCS)'!F100</f>
        <v>8</v>
      </c>
      <c r="G100" s="261">
        <f>'[8]FY14 Projections by grd (PCS)'!G100</f>
        <v>0</v>
      </c>
      <c r="H100" s="261">
        <f>'[8]FY14 Projections by grd (PCS)'!H100</f>
        <v>0</v>
      </c>
      <c r="I100" s="261">
        <f>'[8]FY14 Projections by grd (PCS)'!I100</f>
        <v>0</v>
      </c>
      <c r="J100" s="261">
        <f>'[8]FY14 Projections by grd (PCS)'!J100</f>
        <v>0</v>
      </c>
      <c r="K100" s="261">
        <f>'[8]FY14 Projections by grd (PCS)'!K100</f>
        <v>0</v>
      </c>
      <c r="L100" s="261">
        <f>'[8]FY14 Projections by grd (PCS)'!L100</f>
        <v>0</v>
      </c>
      <c r="M100" s="261">
        <f>'[8]FY14 Projections by grd (PCS)'!M100</f>
        <v>0</v>
      </c>
      <c r="N100" s="261">
        <f>'[8]FY14 Projections by grd (PCS)'!N100</f>
        <v>0</v>
      </c>
      <c r="O100" s="261">
        <f>'[8]FY14 Projections by grd (PCS)'!O100</f>
        <v>0</v>
      </c>
      <c r="P100" s="261">
        <f>'[8]FY14 Projections by grd (PCS)'!P100</f>
        <v>0</v>
      </c>
      <c r="Q100" s="261">
        <f>'[8]FY14 Projections by grd (PCS)'!Q100</f>
        <v>0</v>
      </c>
      <c r="R100" s="261">
        <f>'[8]FY14 Projections by grd (PCS)'!R100</f>
        <v>0</v>
      </c>
      <c r="S100" s="261">
        <f>'[8]FY14 Projections by grd (PCS)'!S100</f>
        <v>0</v>
      </c>
      <c r="T100" s="261">
        <f>'[8]FY14 Projections by grd (PCS)'!T100</f>
        <v>0</v>
      </c>
      <c r="U100" s="262">
        <f t="shared" si="2"/>
        <v>91</v>
      </c>
      <c r="W100" s="264">
        <v>91</v>
      </c>
      <c r="Y100" s="264" t="str">
        <f t="shared" si="3"/>
        <v>Enrollment ceiling increase not required</v>
      </c>
    </row>
    <row r="101" spans="1:28">
      <c r="A101" s="265" t="s">
        <v>574</v>
      </c>
      <c r="B101" s="264">
        <f>'[8]FY14 Projections by grd (PCS)'!B101</f>
        <v>0</v>
      </c>
      <c r="C101" s="264">
        <f>'[8]FY14 Projections by grd (PCS)'!C101</f>
        <v>0</v>
      </c>
      <c r="D101" s="264">
        <f>'[8]FY14 Projections by grd (PCS)'!D101</f>
        <v>0</v>
      </c>
      <c r="E101" s="264">
        <f>'[8]FY14 Projections by grd (PCS)'!E101</f>
        <v>0</v>
      </c>
      <c r="F101" s="264">
        <f>'[8]FY14 Projections by grd (PCS)'!F101</f>
        <v>0</v>
      </c>
      <c r="G101" s="264">
        <f>'[8]FY14 Projections by grd (PCS)'!G101</f>
        <v>0</v>
      </c>
      <c r="H101" s="264">
        <f>'[8]FY14 Projections by grd (PCS)'!H101</f>
        <v>0</v>
      </c>
      <c r="I101" s="264">
        <f>'[8]FY14 Projections by grd (PCS)'!I101</f>
        <v>0</v>
      </c>
      <c r="J101" s="266">
        <f>'[8]FY14 Projections by grd (PCS)'!J101</f>
        <v>120</v>
      </c>
      <c r="K101" s="266">
        <f>'[8]FY14 Projections by grd (PCS)'!K101</f>
        <v>60</v>
      </c>
      <c r="L101" s="266">
        <f>'[8]FY14 Projections by grd (PCS)'!L101</f>
        <v>20</v>
      </c>
      <c r="M101" s="266">
        <f>'[8]FY14 Projections by grd (PCS)'!M101</f>
        <v>0</v>
      </c>
      <c r="N101" s="264">
        <f>'[8]FY14 Projections by grd (PCS)'!N101</f>
        <v>0</v>
      </c>
      <c r="O101" s="264">
        <f>'[8]FY14 Projections by grd (PCS)'!O101</f>
        <v>0</v>
      </c>
      <c r="P101" s="264">
        <f>'[8]FY14 Projections by grd (PCS)'!P101</f>
        <v>0</v>
      </c>
      <c r="Q101" s="264">
        <f>'[8]FY14 Projections by grd (PCS)'!Q101</f>
        <v>0</v>
      </c>
      <c r="R101" s="264">
        <f>'[8]FY14 Projections by grd (PCS)'!R101</f>
        <v>0</v>
      </c>
      <c r="S101" s="264">
        <f>'[8]FY14 Projections by grd (PCS)'!S101</f>
        <v>0</v>
      </c>
      <c r="T101" s="264">
        <f>'[8]FY14 Projections by grd (PCS)'!T101</f>
        <v>0</v>
      </c>
      <c r="U101" s="262">
        <f t="shared" si="2"/>
        <v>200</v>
      </c>
      <c r="W101" s="264">
        <v>400</v>
      </c>
      <c r="Y101" s="264" t="str">
        <f t="shared" si="3"/>
        <v>Enrollment ceiling increase not required</v>
      </c>
    </row>
    <row r="102" spans="1:28">
      <c r="A102" s="261" t="s">
        <v>576</v>
      </c>
      <c r="B102" s="261">
        <f>'[8]FY14 Projections by grd (PCS)'!B102</f>
        <v>0</v>
      </c>
      <c r="C102" s="261">
        <f>'[8]FY14 Projections by grd (PCS)'!C102</f>
        <v>0</v>
      </c>
      <c r="D102" s="261">
        <f>'[8]FY14 Projections by grd (PCS)'!D102</f>
        <v>0</v>
      </c>
      <c r="E102" s="261">
        <f>'[8]FY14 Projections by grd (PCS)'!E102</f>
        <v>0</v>
      </c>
      <c r="F102" s="261">
        <f>'[8]FY14 Projections by grd (PCS)'!F102</f>
        <v>0</v>
      </c>
      <c r="G102" s="261">
        <f>'[8]FY14 Projections by grd (PCS)'!G102</f>
        <v>0</v>
      </c>
      <c r="H102" s="261">
        <f>'[8]FY14 Projections by grd (PCS)'!H102</f>
        <v>0</v>
      </c>
      <c r="I102" s="261">
        <f>'[8]FY14 Projections by grd (PCS)'!I102</f>
        <v>0</v>
      </c>
      <c r="J102" s="261">
        <f>'[8]FY14 Projections by grd (PCS)'!J102</f>
        <v>0</v>
      </c>
      <c r="K102" s="261">
        <f>'[8]FY14 Projections by grd (PCS)'!K102</f>
        <v>0</v>
      </c>
      <c r="L102" s="261">
        <f>'[8]FY14 Projections by grd (PCS)'!L102</f>
        <v>0</v>
      </c>
      <c r="M102" s="261">
        <f>'[8]FY14 Projections by grd (PCS)'!M102</f>
        <v>0</v>
      </c>
      <c r="N102" s="261">
        <f>'[8]FY14 Projections by grd (PCS)'!N102</f>
        <v>0</v>
      </c>
      <c r="O102" s="261">
        <f>'[8]FY14 Projections by grd (PCS)'!O102</f>
        <v>0</v>
      </c>
      <c r="P102" s="261">
        <f>'[8]FY14 Projections by grd (PCS)'!P102</f>
        <v>0</v>
      </c>
      <c r="Q102" s="261">
        <f>'[8]FY14 Projections by grd (PCS)'!Q102</f>
        <v>0</v>
      </c>
      <c r="R102" s="261">
        <f>'[8]FY14 Projections by grd (PCS)'!R102</f>
        <v>250</v>
      </c>
      <c r="S102" s="261">
        <f>'[8]FY14 Projections by grd (PCS)'!S102</f>
        <v>0</v>
      </c>
      <c r="T102" s="261">
        <f>'[8]FY14 Projections by grd (PCS)'!T102</f>
        <v>0</v>
      </c>
      <c r="U102" s="262">
        <f t="shared" si="2"/>
        <v>250</v>
      </c>
      <c r="W102" s="261">
        <v>250</v>
      </c>
      <c r="Y102" s="264" t="str">
        <f t="shared" si="3"/>
        <v>Enrollment ceiling increase not required</v>
      </c>
    </row>
    <row r="103" spans="1:28">
      <c r="A103" s="261" t="s">
        <v>578</v>
      </c>
      <c r="B103" s="261">
        <f>'[8]FY14 Projections by grd (PCS)'!B103</f>
        <v>0</v>
      </c>
      <c r="C103" s="261">
        <f>'[8]FY14 Projections by grd (PCS)'!C103</f>
        <v>0</v>
      </c>
      <c r="D103" s="261">
        <f>'[8]FY14 Projections by grd (PCS)'!D103</f>
        <v>0</v>
      </c>
      <c r="E103" s="261">
        <f>'[8]FY14 Projections by grd (PCS)'!E103</f>
        <v>0</v>
      </c>
      <c r="F103" s="261">
        <f>'[8]FY14 Projections by grd (PCS)'!F103</f>
        <v>0</v>
      </c>
      <c r="G103" s="261">
        <f>'[8]FY14 Projections by grd (PCS)'!G103</f>
        <v>0</v>
      </c>
      <c r="H103" s="261">
        <f>'[8]FY14 Projections by grd (PCS)'!H103</f>
        <v>0</v>
      </c>
      <c r="I103" s="261">
        <f>'[8]FY14 Projections by grd (PCS)'!I103</f>
        <v>0</v>
      </c>
      <c r="J103" s="261">
        <f>'[8]FY14 Projections by grd (PCS)'!J103</f>
        <v>0</v>
      </c>
      <c r="K103" s="261">
        <f>'[8]FY14 Projections by grd (PCS)'!K103</f>
        <v>0</v>
      </c>
      <c r="L103" s="261">
        <f>'[8]FY14 Projections by grd (PCS)'!L103</f>
        <v>0</v>
      </c>
      <c r="M103" s="261">
        <f>'[8]FY14 Projections by grd (PCS)'!M103</f>
        <v>0</v>
      </c>
      <c r="N103" s="261">
        <f>'[8]FY14 Projections by grd (PCS)'!N103</f>
        <v>15</v>
      </c>
      <c r="O103" s="261">
        <f>'[8]FY14 Projections by grd (PCS)'!O103</f>
        <v>35</v>
      </c>
      <c r="P103" s="261">
        <f>'[8]FY14 Projections by grd (PCS)'!P103</f>
        <v>90</v>
      </c>
      <c r="Q103" s="261">
        <f>'[8]FY14 Projections by grd (PCS)'!Q103</f>
        <v>0</v>
      </c>
      <c r="R103" s="261">
        <f>'[8]FY14 Projections by grd (PCS)'!R103</f>
        <v>0</v>
      </c>
      <c r="S103" s="261">
        <f>'[8]FY14 Projections by grd (PCS)'!S103</f>
        <v>160</v>
      </c>
      <c r="T103" s="261">
        <f>'[8]FY14 Projections by grd (PCS)'!T103</f>
        <v>0</v>
      </c>
      <c r="U103" s="262">
        <f>SUM(B103:T103)+U104</f>
        <v>300</v>
      </c>
      <c r="W103" s="261">
        <v>250</v>
      </c>
      <c r="Y103" s="264" t="str">
        <f t="shared" si="3"/>
        <v>Enrollment ceiling increase required</v>
      </c>
      <c r="AB103" s="264" t="s">
        <v>614</v>
      </c>
    </row>
    <row r="104" spans="1:28" hidden="1">
      <c r="A104" s="261" t="s">
        <v>579</v>
      </c>
      <c r="B104" s="261">
        <f>'[8]FY14 Projections by grd (PCS)'!B104</f>
        <v>0</v>
      </c>
      <c r="C104" s="261">
        <f>'[8]FY14 Projections by grd (PCS)'!C104</f>
        <v>0</v>
      </c>
      <c r="D104" s="261">
        <f>'[8]FY14 Projections by grd (PCS)'!D104</f>
        <v>0</v>
      </c>
      <c r="E104" s="261">
        <f>'[8]FY14 Projections by grd (PCS)'!E104</f>
        <v>0</v>
      </c>
      <c r="F104" s="261">
        <f>'[8]FY14 Projections by grd (PCS)'!F104</f>
        <v>0</v>
      </c>
      <c r="G104" s="261">
        <f>'[8]FY14 Projections by grd (PCS)'!G104</f>
        <v>0</v>
      </c>
      <c r="H104" s="261">
        <f>'[8]FY14 Projections by grd (PCS)'!H104</f>
        <v>0</v>
      </c>
      <c r="I104" s="261">
        <f>'[8]FY14 Projections by grd (PCS)'!I104</f>
        <v>0</v>
      </c>
      <c r="J104" s="261">
        <f>'[8]FY14 Projections by grd (PCS)'!J104</f>
        <v>0</v>
      </c>
      <c r="K104" s="261">
        <f>'[8]FY14 Projections by grd (PCS)'!K104</f>
        <v>0</v>
      </c>
      <c r="L104" s="261">
        <f>'[8]FY14 Projections by grd (PCS)'!L104</f>
        <v>0</v>
      </c>
      <c r="M104" s="261">
        <f>'[8]FY14 Projections by grd (PCS)'!M104</f>
        <v>0</v>
      </c>
      <c r="N104" s="261">
        <f>'[8]FY14 Projections by grd (PCS)'!N104</f>
        <v>0</v>
      </c>
      <c r="O104" s="261">
        <f>'[8]FY14 Projections by grd (PCS)'!O104</f>
        <v>0</v>
      </c>
      <c r="P104" s="261">
        <f>'[8]FY14 Projections by grd (PCS)'!P104</f>
        <v>0</v>
      </c>
      <c r="Q104" s="261">
        <f>'[8]FY14 Projections by grd (PCS)'!Q104</f>
        <v>0</v>
      </c>
      <c r="R104" s="261">
        <f>'[8]FY14 Projections by grd (PCS)'!R104</f>
        <v>0</v>
      </c>
      <c r="S104" s="261">
        <f>'[8]FY14 Projections by grd (PCS)'!S104</f>
        <v>0</v>
      </c>
      <c r="T104" s="261">
        <f>'[8]FY14 Projections by grd (PCS)'!T104</f>
        <v>0</v>
      </c>
      <c r="U104" s="262">
        <f t="shared" si="2"/>
        <v>0</v>
      </c>
      <c r="Y104" s="264" t="str">
        <f t="shared" si="3"/>
        <v>Enrollment ceiling increase not required</v>
      </c>
    </row>
    <row r="105" spans="1:28">
      <c r="A105" s="261" t="s">
        <v>425</v>
      </c>
      <c r="B105" s="261">
        <f>'[8]FY14 Projections by grd (PCS)'!B105</f>
        <v>0</v>
      </c>
      <c r="C105" s="261">
        <f>'[8]FY14 Projections by grd (PCS)'!C105</f>
        <v>0</v>
      </c>
      <c r="D105" s="261">
        <f>'[8]FY14 Projections by grd (PCS)'!D105</f>
        <v>0</v>
      </c>
      <c r="E105" s="261">
        <f>'[8]FY14 Projections by grd (PCS)'!E105</f>
        <v>0</v>
      </c>
      <c r="F105" s="261">
        <f>'[8]FY14 Projections by grd (PCS)'!F105</f>
        <v>0</v>
      </c>
      <c r="G105" s="261">
        <f>'[8]FY14 Projections by grd (PCS)'!G105</f>
        <v>0</v>
      </c>
      <c r="H105" s="261">
        <f>'[8]FY14 Projections by grd (PCS)'!H105</f>
        <v>0</v>
      </c>
      <c r="I105" s="261">
        <f>'[8]FY14 Projections by grd (PCS)'!I105</f>
        <v>0</v>
      </c>
      <c r="J105" s="261">
        <f>'[8]FY14 Projections by grd (PCS)'!J105</f>
        <v>0</v>
      </c>
      <c r="K105" s="261">
        <f>'[8]FY14 Projections by grd (PCS)'!K105</f>
        <v>0</v>
      </c>
      <c r="L105" s="261">
        <f>'[8]FY14 Projections by grd (PCS)'!L105</f>
        <v>0</v>
      </c>
      <c r="M105" s="261">
        <f>'[8]FY14 Projections by grd (PCS)'!M105</f>
        <v>135</v>
      </c>
      <c r="N105" s="261">
        <f>'[8]FY14 Projections by grd (PCS)'!N105</f>
        <v>110</v>
      </c>
      <c r="O105" s="261">
        <f>'[8]FY14 Projections by grd (PCS)'!O105</f>
        <v>85</v>
      </c>
      <c r="P105" s="261">
        <f>'[8]FY14 Projections by grd (PCS)'!P105</f>
        <v>75</v>
      </c>
      <c r="Q105" s="261">
        <f>'[8]FY14 Projections by grd (PCS)'!Q105</f>
        <v>0</v>
      </c>
      <c r="R105" s="261">
        <f>'[8]FY14 Projections by grd (PCS)'!R105</f>
        <v>0</v>
      </c>
      <c r="S105" s="261">
        <f>'[8]FY14 Projections by grd (PCS)'!S105</f>
        <v>0</v>
      </c>
      <c r="T105" s="261">
        <f>'[8]FY14 Projections by grd (PCS)'!T105</f>
        <v>0</v>
      </c>
      <c r="U105" s="262">
        <f t="shared" si="2"/>
        <v>405</v>
      </c>
      <c r="W105" s="261">
        <v>420</v>
      </c>
      <c r="Y105" s="264" t="str">
        <f t="shared" si="3"/>
        <v>Enrollment ceiling increase not required</v>
      </c>
    </row>
    <row r="106" spans="1:28">
      <c r="A106" s="261" t="s">
        <v>581</v>
      </c>
      <c r="B106" s="261">
        <f>'[8]FY14 Projections by grd (PCS)'!B106</f>
        <v>45</v>
      </c>
      <c r="C106" s="261">
        <f>'[8]FY14 Projections by grd (PCS)'!C106</f>
        <v>45</v>
      </c>
      <c r="D106" s="261">
        <f>'[8]FY14 Projections by grd (PCS)'!D106</f>
        <v>40</v>
      </c>
      <c r="E106" s="261">
        <f>'[8]FY14 Projections by grd (PCS)'!E106</f>
        <v>40</v>
      </c>
      <c r="F106" s="261">
        <f>'[8]FY14 Projections by grd (PCS)'!F106</f>
        <v>25</v>
      </c>
      <c r="G106" s="261">
        <f>'[8]FY14 Projections by grd (PCS)'!G106</f>
        <v>25</v>
      </c>
      <c r="H106" s="261">
        <f>'[8]FY14 Projections by grd (PCS)'!H106</f>
        <v>25</v>
      </c>
      <c r="I106" s="261">
        <f>'[8]FY14 Projections by grd (PCS)'!I106</f>
        <v>20</v>
      </c>
      <c r="J106" s="261">
        <f>'[8]FY14 Projections by grd (PCS)'!J106</f>
        <v>20</v>
      </c>
      <c r="K106" s="261">
        <f>'[8]FY14 Projections by grd (PCS)'!K106</f>
        <v>20</v>
      </c>
      <c r="L106" s="261">
        <f>'[8]FY14 Projections by grd (PCS)'!L106</f>
        <v>20</v>
      </c>
      <c r="M106" s="261">
        <f>'[8]FY14 Projections by grd (PCS)'!M106</f>
        <v>0</v>
      </c>
      <c r="N106" s="261">
        <f>'[8]FY14 Projections by grd (PCS)'!N106</f>
        <v>0</v>
      </c>
      <c r="O106" s="261">
        <f>'[8]FY14 Projections by grd (PCS)'!O106</f>
        <v>0</v>
      </c>
      <c r="P106" s="261">
        <f>'[8]FY14 Projections by grd (PCS)'!P106</f>
        <v>0</v>
      </c>
      <c r="Q106" s="261">
        <f>'[8]FY14 Projections by grd (PCS)'!Q106</f>
        <v>0</v>
      </c>
      <c r="R106" s="261">
        <f>'[8]FY14 Projections by grd (PCS)'!R106</f>
        <v>0</v>
      </c>
      <c r="S106" s="261">
        <f>'[8]FY14 Projections by grd (PCS)'!S106</f>
        <v>0</v>
      </c>
      <c r="T106" s="261">
        <f>'[8]FY14 Projections by grd (PCS)'!T106</f>
        <v>0</v>
      </c>
      <c r="U106" s="262">
        <f t="shared" si="2"/>
        <v>325</v>
      </c>
      <c r="W106" s="261">
        <v>540</v>
      </c>
      <c r="Y106" s="264" t="str">
        <f t="shared" si="3"/>
        <v>Enrollment ceiling increase not required</v>
      </c>
    </row>
    <row r="107" spans="1:28">
      <c r="A107" s="261" t="s">
        <v>604</v>
      </c>
      <c r="B107" s="261">
        <f>'[8]FY14 Projections by grd (PCS)'!B107</f>
        <v>36</v>
      </c>
      <c r="C107" s="261">
        <f>'[8]FY14 Projections by grd (PCS)'!C107</f>
        <v>44</v>
      </c>
      <c r="D107" s="261">
        <f>'[8]FY14 Projections by grd (PCS)'!D107</f>
        <v>44</v>
      </c>
      <c r="E107" s="261">
        <f>'[8]FY14 Projections by grd (PCS)'!E107</f>
        <v>48</v>
      </c>
      <c r="F107" s="261">
        <f>'[8]FY14 Projections by grd (PCS)'!F107</f>
        <v>50</v>
      </c>
      <c r="G107" s="261">
        <f>'[8]FY14 Projections by grd (PCS)'!G107</f>
        <v>50</v>
      </c>
      <c r="H107" s="261">
        <f>'[8]FY14 Projections by grd (PCS)'!H107</f>
        <v>52</v>
      </c>
      <c r="I107" s="261">
        <f>'[8]FY14 Projections by grd (PCS)'!I107</f>
        <v>44</v>
      </c>
      <c r="J107" s="261">
        <f>'[8]FY14 Projections by grd (PCS)'!J107</f>
        <v>0</v>
      </c>
      <c r="K107" s="261">
        <f>'[8]FY14 Projections by grd (PCS)'!K107</f>
        <v>0</v>
      </c>
      <c r="L107" s="261">
        <f>'[8]FY14 Projections by grd (PCS)'!L107</f>
        <v>0</v>
      </c>
      <c r="M107" s="261">
        <f>'[8]FY14 Projections by grd (PCS)'!M107</f>
        <v>0</v>
      </c>
      <c r="N107" s="261">
        <f>'[8]FY14 Projections by grd (PCS)'!N107</f>
        <v>0</v>
      </c>
      <c r="O107" s="261">
        <f>'[8]FY14 Projections by grd (PCS)'!O107</f>
        <v>0</v>
      </c>
      <c r="P107" s="261">
        <f>'[8]FY14 Projections by grd (PCS)'!P107</f>
        <v>0</v>
      </c>
      <c r="Q107" s="261">
        <f>'[8]FY14 Projections by grd (PCS)'!Q107</f>
        <v>0</v>
      </c>
      <c r="R107" s="261">
        <f>'[8]FY14 Projections by grd (PCS)'!R107</f>
        <v>0</v>
      </c>
      <c r="S107" s="261">
        <f>'[8]FY14 Projections by grd (PCS)'!S107</f>
        <v>0</v>
      </c>
      <c r="T107" s="261">
        <f>'[8]FY14 Projections by grd (PCS)'!T107</f>
        <v>0</v>
      </c>
      <c r="U107" s="262">
        <f>SUM(B107:T107)+U108</f>
        <v>514</v>
      </c>
      <c r="W107" s="261">
        <v>750</v>
      </c>
      <c r="Y107" s="264" t="str">
        <f t="shared" si="3"/>
        <v>Enrollment ceiling increase not required</v>
      </c>
    </row>
    <row r="108" spans="1:28" hidden="1">
      <c r="A108" s="261" t="s">
        <v>583</v>
      </c>
      <c r="B108" s="261">
        <f>'[8]FY14 Projections by grd (PCS)'!B108</f>
        <v>0</v>
      </c>
      <c r="C108" s="261">
        <f>'[8]FY14 Projections by grd (PCS)'!C108</f>
        <v>0</v>
      </c>
      <c r="D108" s="261">
        <f>'[8]FY14 Projections by grd (PCS)'!D108</f>
        <v>0</v>
      </c>
      <c r="E108" s="261">
        <f>'[8]FY14 Projections by grd (PCS)'!E108</f>
        <v>0</v>
      </c>
      <c r="F108" s="261">
        <f>'[8]FY14 Projections by grd (PCS)'!F108</f>
        <v>0</v>
      </c>
      <c r="G108" s="261">
        <f>'[8]FY14 Projections by grd (PCS)'!G108</f>
        <v>0</v>
      </c>
      <c r="H108" s="261">
        <f>'[8]FY14 Projections by grd (PCS)'!H108</f>
        <v>0</v>
      </c>
      <c r="I108" s="261">
        <f>'[8]FY14 Projections by grd (PCS)'!I108</f>
        <v>0</v>
      </c>
      <c r="J108" s="261">
        <f>'[8]FY14 Projections by grd (PCS)'!J108</f>
        <v>49</v>
      </c>
      <c r="K108" s="261">
        <f>'[8]FY14 Projections by grd (PCS)'!K108</f>
        <v>48</v>
      </c>
      <c r="L108" s="261">
        <f>'[8]FY14 Projections by grd (PCS)'!L108</f>
        <v>49</v>
      </c>
      <c r="M108" s="261">
        <f>'[8]FY14 Projections by grd (PCS)'!M108</f>
        <v>0</v>
      </c>
      <c r="N108" s="261">
        <f>'[8]FY14 Projections by grd (PCS)'!N108</f>
        <v>0</v>
      </c>
      <c r="O108" s="261">
        <f>'[8]FY14 Projections by grd (PCS)'!O108</f>
        <v>0</v>
      </c>
      <c r="P108" s="261">
        <f>'[8]FY14 Projections by grd (PCS)'!P108</f>
        <v>0</v>
      </c>
      <c r="Q108" s="261">
        <f>'[8]FY14 Projections by grd (PCS)'!Q108</f>
        <v>0</v>
      </c>
      <c r="R108" s="261">
        <f>'[8]FY14 Projections by grd (PCS)'!R108</f>
        <v>0</v>
      </c>
      <c r="S108" s="261">
        <f>'[8]FY14 Projections by grd (PCS)'!S108</f>
        <v>0</v>
      </c>
      <c r="T108" s="261">
        <f>'[8]FY14 Projections by grd (PCS)'!T108</f>
        <v>0</v>
      </c>
      <c r="U108" s="262">
        <f t="shared" si="2"/>
        <v>146</v>
      </c>
      <c r="Y108" s="264" t="str">
        <f t="shared" si="3"/>
        <v>Enrollment ceiling increase required</v>
      </c>
    </row>
    <row r="109" spans="1:28">
      <c r="A109" s="261" t="s">
        <v>605</v>
      </c>
      <c r="B109" s="261">
        <f>'[8]FY14 Projections by grd (PCS)'!B109</f>
        <v>0</v>
      </c>
      <c r="C109" s="261">
        <f>'[8]FY14 Projections by grd (PCS)'!C109</f>
        <v>0</v>
      </c>
      <c r="D109" s="261">
        <f>'[8]FY14 Projections by grd (PCS)'!D109</f>
        <v>0</v>
      </c>
      <c r="E109" s="261">
        <f>'[8]FY14 Projections by grd (PCS)'!E109</f>
        <v>0</v>
      </c>
      <c r="F109" s="261">
        <f>'[8]FY14 Projections by grd (PCS)'!F109</f>
        <v>0</v>
      </c>
      <c r="G109" s="261">
        <f>'[8]FY14 Projections by grd (PCS)'!G109</f>
        <v>0</v>
      </c>
      <c r="H109" s="261">
        <f>'[8]FY14 Projections by grd (PCS)'!H109</f>
        <v>0</v>
      </c>
      <c r="I109" s="261">
        <f>'[8]FY14 Projections by grd (PCS)'!I109</f>
        <v>0</v>
      </c>
      <c r="J109" s="261">
        <f>'[8]FY14 Projections by grd (PCS)'!J109</f>
        <v>0</v>
      </c>
      <c r="K109" s="261">
        <f>'[8]FY14 Projections by grd (PCS)'!K109</f>
        <v>0</v>
      </c>
      <c r="L109" s="261">
        <f>'[8]FY14 Projections by grd (PCS)'!L109</f>
        <v>0</v>
      </c>
      <c r="M109" s="261">
        <f>'[8]FY14 Projections by grd (PCS)'!M109</f>
        <v>80</v>
      </c>
      <c r="N109" s="261">
        <f>'[8]FY14 Projections by grd (PCS)'!N109</f>
        <v>75</v>
      </c>
      <c r="O109" s="261">
        <f>'[8]FY14 Projections by grd (PCS)'!O109</f>
        <v>59</v>
      </c>
      <c r="P109" s="261">
        <f>'[8]FY14 Projections by grd (PCS)'!P109</f>
        <v>55</v>
      </c>
      <c r="Q109" s="261">
        <f>'[8]FY14 Projections by grd (PCS)'!Q109</f>
        <v>0</v>
      </c>
      <c r="R109" s="261">
        <f>'[8]FY14 Projections by grd (PCS)'!R109</f>
        <v>0</v>
      </c>
      <c r="S109" s="261">
        <f>'[8]FY14 Projections by grd (PCS)'!S109</f>
        <v>0</v>
      </c>
      <c r="T109" s="261">
        <f>'[8]FY14 Projections by grd (PCS)'!T109</f>
        <v>0</v>
      </c>
      <c r="U109" s="262">
        <f>SUM(B109:T109)+U110</f>
        <v>621</v>
      </c>
      <c r="W109" s="261">
        <v>837</v>
      </c>
      <c r="Y109" s="264" t="str">
        <f t="shared" si="3"/>
        <v>Enrollment ceiling increase not required</v>
      </c>
    </row>
    <row r="110" spans="1:28" hidden="1">
      <c r="A110" s="261" t="s">
        <v>585</v>
      </c>
      <c r="B110" s="261">
        <f>'[8]FY14 Projections by grd (PCS)'!B110</f>
        <v>0</v>
      </c>
      <c r="C110" s="261">
        <f>'[8]FY14 Projections by grd (PCS)'!C110</f>
        <v>0</v>
      </c>
      <c r="D110" s="261">
        <f>'[8]FY14 Projections by grd (PCS)'!D110</f>
        <v>0</v>
      </c>
      <c r="E110" s="261">
        <f>'[8]FY14 Projections by grd (PCS)'!E110</f>
        <v>0</v>
      </c>
      <c r="F110" s="261">
        <f>'[8]FY14 Projections by grd (PCS)'!F110</f>
        <v>0</v>
      </c>
      <c r="G110" s="261">
        <f>'[8]FY14 Projections by grd (PCS)'!G110</f>
        <v>0</v>
      </c>
      <c r="H110" s="261">
        <f>'[8]FY14 Projections by grd (PCS)'!H110</f>
        <v>0</v>
      </c>
      <c r="I110" s="261">
        <f>'[8]FY14 Projections by grd (PCS)'!I110</f>
        <v>90</v>
      </c>
      <c r="J110" s="261">
        <f>'[8]FY14 Projections by grd (PCS)'!J110</f>
        <v>90</v>
      </c>
      <c r="K110" s="261">
        <f>'[8]FY14 Projections by grd (PCS)'!K110</f>
        <v>86</v>
      </c>
      <c r="L110" s="261">
        <f>'[8]FY14 Projections by grd (PCS)'!L110</f>
        <v>86</v>
      </c>
      <c r="M110" s="261">
        <f>'[8]FY14 Projections by grd (PCS)'!M110</f>
        <v>0</v>
      </c>
      <c r="N110" s="261">
        <f>'[8]FY14 Projections by grd (PCS)'!N110</f>
        <v>0</v>
      </c>
      <c r="O110" s="261">
        <f>'[8]FY14 Projections by grd (PCS)'!O110</f>
        <v>0</v>
      </c>
      <c r="P110" s="261">
        <f>'[8]FY14 Projections by grd (PCS)'!P110</f>
        <v>0</v>
      </c>
      <c r="Q110" s="261">
        <f>'[8]FY14 Projections by grd (PCS)'!Q110</f>
        <v>0</v>
      </c>
      <c r="R110" s="261">
        <f>'[8]FY14 Projections by grd (PCS)'!R110</f>
        <v>0</v>
      </c>
      <c r="S110" s="261">
        <f>'[8]FY14 Projections by grd (PCS)'!S110</f>
        <v>0</v>
      </c>
      <c r="T110" s="261">
        <f>'[8]FY14 Projections by grd (PCS)'!T110</f>
        <v>0</v>
      </c>
      <c r="U110" s="262">
        <f t="shared" si="2"/>
        <v>352</v>
      </c>
      <c r="Y110" s="264" t="str">
        <f t="shared" si="3"/>
        <v>Enrollment ceiling increase required</v>
      </c>
    </row>
    <row r="111" spans="1:28">
      <c r="A111" s="261" t="s">
        <v>586</v>
      </c>
      <c r="B111" s="261">
        <f>'[8]FY14 Projections by grd (PCS)'!B111</f>
        <v>0</v>
      </c>
      <c r="C111" s="261">
        <f>'[8]FY14 Projections by grd (PCS)'!C111</f>
        <v>0</v>
      </c>
      <c r="D111" s="261">
        <f>'[8]FY14 Projections by grd (PCS)'!D111</f>
        <v>0</v>
      </c>
      <c r="E111" s="261">
        <f>'[8]FY14 Projections by grd (PCS)'!E111</f>
        <v>0</v>
      </c>
      <c r="F111" s="261">
        <f>'[8]FY14 Projections by grd (PCS)'!F111</f>
        <v>0</v>
      </c>
      <c r="G111" s="261">
        <f>'[8]FY14 Projections by grd (PCS)'!G111</f>
        <v>0</v>
      </c>
      <c r="H111" s="261">
        <f>'[8]FY14 Projections by grd (PCS)'!H111</f>
        <v>0</v>
      </c>
      <c r="I111" s="261">
        <f>'[8]FY14 Projections by grd (PCS)'!I111</f>
        <v>0</v>
      </c>
      <c r="J111" s="261">
        <f>'[8]FY14 Projections by grd (PCS)'!J111</f>
        <v>0</v>
      </c>
      <c r="K111" s="261">
        <f>'[8]FY14 Projections by grd (PCS)'!K111</f>
        <v>0</v>
      </c>
      <c r="L111" s="261">
        <f>'[8]FY14 Projections by grd (PCS)'!L111</f>
        <v>0</v>
      </c>
      <c r="M111" s="261">
        <f>'[8]FY14 Projections by grd (PCS)'!M111</f>
        <v>95</v>
      </c>
      <c r="N111" s="261">
        <f>'[8]FY14 Projections by grd (PCS)'!N111</f>
        <v>90</v>
      </c>
      <c r="O111" s="261">
        <f>'[8]FY14 Projections by grd (PCS)'!O111</f>
        <v>100</v>
      </c>
      <c r="P111" s="261">
        <f>'[8]FY14 Projections by grd (PCS)'!P111</f>
        <v>80</v>
      </c>
      <c r="Q111" s="261">
        <f>'[8]FY14 Projections by grd (PCS)'!Q111</f>
        <v>0</v>
      </c>
      <c r="R111" s="261">
        <f>'[8]FY14 Projections by grd (PCS)'!R111</f>
        <v>0</v>
      </c>
      <c r="S111" s="261">
        <f>'[8]FY14 Projections by grd (PCS)'!S111</f>
        <v>0</v>
      </c>
      <c r="T111" s="261">
        <f>'[8]FY14 Projections by grd (PCS)'!T111</f>
        <v>0</v>
      </c>
      <c r="U111" s="262">
        <f t="shared" si="2"/>
        <v>365</v>
      </c>
      <c r="W111" s="261">
        <v>420</v>
      </c>
      <c r="Y111" s="264" t="str">
        <f t="shared" si="3"/>
        <v>Enrollment ceiling increase not required</v>
      </c>
    </row>
    <row r="112" spans="1:28">
      <c r="A112" s="261" t="s">
        <v>587</v>
      </c>
      <c r="B112" s="261">
        <f>'[8]FY14 Projections by grd (PCS)'!B112</f>
        <v>0</v>
      </c>
      <c r="C112" s="261">
        <f>'[8]FY14 Projections by grd (PCS)'!C112</f>
        <v>76</v>
      </c>
      <c r="D112" s="261">
        <f>'[8]FY14 Projections by grd (PCS)'!D112</f>
        <v>76</v>
      </c>
      <c r="E112" s="261">
        <f>'[8]FY14 Projections by grd (PCS)'!E112</f>
        <v>114</v>
      </c>
      <c r="F112" s="261">
        <f>'[8]FY14 Projections by grd (PCS)'!F112</f>
        <v>68</v>
      </c>
      <c r="G112" s="261">
        <f>'[8]FY14 Projections by grd (PCS)'!G112</f>
        <v>64</v>
      </c>
      <c r="H112" s="261">
        <f>'[8]FY14 Projections by grd (PCS)'!H112</f>
        <v>54</v>
      </c>
      <c r="I112" s="261">
        <f>'[8]FY14 Projections by grd (PCS)'!I112</f>
        <v>41</v>
      </c>
      <c r="J112" s="266">
        <f>'[8]FY14 Projections by grd (PCS)'!J112</f>
        <v>23</v>
      </c>
      <c r="K112" s="261">
        <f>'[8]FY14 Projections by grd (PCS)'!K112</f>
        <v>0</v>
      </c>
      <c r="L112" s="261">
        <f>'[8]FY14 Projections by grd (PCS)'!L112</f>
        <v>0</v>
      </c>
      <c r="M112" s="261">
        <f>'[8]FY14 Projections by grd (PCS)'!M112</f>
        <v>0</v>
      </c>
      <c r="N112" s="261">
        <f>'[8]FY14 Projections by grd (PCS)'!N112</f>
        <v>0</v>
      </c>
      <c r="O112" s="261">
        <f>'[8]FY14 Projections by grd (PCS)'!O112</f>
        <v>0</v>
      </c>
      <c r="P112" s="261">
        <f>'[8]FY14 Projections by grd (PCS)'!P112</f>
        <v>0</v>
      </c>
      <c r="Q112" s="261">
        <f>'[8]FY14 Projections by grd (PCS)'!Q112</f>
        <v>0</v>
      </c>
      <c r="R112" s="261">
        <f>'[8]FY14 Projections by grd (PCS)'!R112</f>
        <v>0</v>
      </c>
      <c r="S112" s="261">
        <f>'[8]FY14 Projections by grd (PCS)'!S112</f>
        <v>0</v>
      </c>
      <c r="T112" s="261">
        <f>'[8]FY14 Projections by grd (PCS)'!T112</f>
        <v>0</v>
      </c>
      <c r="U112" s="262">
        <f t="shared" si="2"/>
        <v>516</v>
      </c>
      <c r="W112" s="261">
        <v>468</v>
      </c>
      <c r="Y112" s="264" t="str">
        <f t="shared" si="3"/>
        <v>Enrollment ceiling increase required</v>
      </c>
      <c r="AB112" s="264" t="s">
        <v>614</v>
      </c>
    </row>
    <row r="113" spans="1:25">
      <c r="A113" s="261" t="s">
        <v>589</v>
      </c>
      <c r="B113" s="261">
        <f>'[8]FY14 Projections by grd (PCS)'!B113</f>
        <v>40</v>
      </c>
      <c r="C113" s="261">
        <f>'[8]FY14 Projections by grd (PCS)'!C113</f>
        <v>60</v>
      </c>
      <c r="D113" s="261">
        <f>'[8]FY14 Projections by grd (PCS)'!D113</f>
        <v>60</v>
      </c>
      <c r="E113" s="261">
        <f>'[8]FY14 Projections by grd (PCS)'!E113</f>
        <v>60</v>
      </c>
      <c r="F113" s="261">
        <f>'[8]FY14 Projections by grd (PCS)'!F113</f>
        <v>42</v>
      </c>
      <c r="G113" s="261">
        <f>'[8]FY14 Projections by grd (PCS)'!G113</f>
        <v>42</v>
      </c>
      <c r="H113" s="261">
        <f>'[8]FY14 Projections by grd (PCS)'!H113</f>
        <v>43</v>
      </c>
      <c r="I113" s="261">
        <f>'[8]FY14 Projections by grd (PCS)'!I113</f>
        <v>40</v>
      </c>
      <c r="J113" s="261">
        <f>'[8]FY14 Projections by grd (PCS)'!J113</f>
        <v>25</v>
      </c>
      <c r="K113" s="261">
        <f>'[8]FY14 Projections by grd (PCS)'!K113</f>
        <v>26</v>
      </c>
      <c r="L113" s="261">
        <f>'[8]FY14 Projections by grd (PCS)'!L113</f>
        <v>22</v>
      </c>
      <c r="M113" s="261">
        <f>'[8]FY14 Projections by grd (PCS)'!M113</f>
        <v>0</v>
      </c>
      <c r="N113" s="261">
        <f>'[8]FY14 Projections by grd (PCS)'!N113</f>
        <v>0</v>
      </c>
      <c r="O113" s="261">
        <f>'[8]FY14 Projections by grd (PCS)'!O113</f>
        <v>0</v>
      </c>
      <c r="P113" s="261">
        <f>'[8]FY14 Projections by grd (PCS)'!P113</f>
        <v>0</v>
      </c>
      <c r="Q113" s="261">
        <f>'[8]FY14 Projections by grd (PCS)'!Q113</f>
        <v>0</v>
      </c>
      <c r="R113" s="261">
        <f>'[8]FY14 Projections by grd (PCS)'!R113</f>
        <v>0</v>
      </c>
      <c r="S113" s="261">
        <f>'[8]FY14 Projections by grd (PCS)'!S113</f>
        <v>0</v>
      </c>
      <c r="T113" s="261">
        <f>'[8]FY14 Projections by grd (PCS)'!T113</f>
        <v>0</v>
      </c>
      <c r="U113" s="262">
        <f>SUM(B113:T113)</f>
        <v>460</v>
      </c>
      <c r="W113" s="261">
        <v>855</v>
      </c>
      <c r="Y113" s="264" t="str">
        <f t="shared" si="3"/>
        <v>Enrollment ceiling increase not required</v>
      </c>
    </row>
    <row r="114" spans="1:25">
      <c r="A114" s="261" t="s">
        <v>590</v>
      </c>
      <c r="B114" s="261">
        <f>'[8]FY14 Projections by grd (PCS)'!B114</f>
        <v>0</v>
      </c>
      <c r="C114" s="261">
        <f>'[8]FY14 Projections by grd (PCS)'!C114</f>
        <v>0</v>
      </c>
      <c r="D114" s="261">
        <f>'[8]FY14 Projections by grd (PCS)'!D114</f>
        <v>0</v>
      </c>
      <c r="E114" s="261">
        <f>'[8]FY14 Projections by grd (PCS)'!E114</f>
        <v>0</v>
      </c>
      <c r="F114" s="261">
        <f>'[8]FY14 Projections by grd (PCS)'!F114</f>
        <v>0</v>
      </c>
      <c r="G114" s="261">
        <f>'[8]FY14 Projections by grd (PCS)'!G114</f>
        <v>0</v>
      </c>
      <c r="H114" s="261">
        <f>'[8]FY14 Projections by grd (PCS)'!H114</f>
        <v>0</v>
      </c>
      <c r="I114" s="261">
        <f>'[8]FY14 Projections by grd (PCS)'!I114</f>
        <v>0</v>
      </c>
      <c r="J114" s="261">
        <f>'[8]FY14 Projections by grd (PCS)'!J114</f>
        <v>0</v>
      </c>
      <c r="K114" s="261">
        <f>'[8]FY14 Projections by grd (PCS)'!K114</f>
        <v>0</v>
      </c>
      <c r="L114" s="261">
        <f>'[8]FY14 Projections by grd (PCS)'!L114</f>
        <v>0</v>
      </c>
      <c r="M114" s="261">
        <f>'[8]FY14 Projections by grd (PCS)'!M114</f>
        <v>0</v>
      </c>
      <c r="N114" s="261">
        <f>'[8]FY14 Projections by grd (PCS)'!N114</f>
        <v>0</v>
      </c>
      <c r="O114" s="261">
        <f>'[8]FY14 Projections by grd (PCS)'!O114</f>
        <v>0</v>
      </c>
      <c r="P114" s="261">
        <f>'[8]FY14 Projections by grd (PCS)'!P114</f>
        <v>0</v>
      </c>
      <c r="Q114" s="261">
        <f>'[8]FY14 Projections by grd (PCS)'!Q114</f>
        <v>115</v>
      </c>
      <c r="R114" s="261">
        <f>'[8]FY14 Projections by grd (PCS)'!R114</f>
        <v>0</v>
      </c>
      <c r="S114" s="261">
        <f>'[8]FY14 Projections by grd (PCS)'!S114</f>
        <v>0</v>
      </c>
      <c r="T114" s="261">
        <f>'[8]FY14 Projections by grd (PCS)'!T114</f>
        <v>0</v>
      </c>
      <c r="U114" s="262">
        <f>SUM(B114:T114)</f>
        <v>115</v>
      </c>
      <c r="W114" s="261">
        <v>115</v>
      </c>
      <c r="Y114" s="264" t="str">
        <f t="shared" si="3"/>
        <v>Enrollment ceiling increase not required</v>
      </c>
    </row>
    <row r="115" spans="1:25">
      <c r="A115" s="262" t="s">
        <v>457</v>
      </c>
      <c r="B115" s="262">
        <f>SUM(B2:B114)</f>
        <v>3015</v>
      </c>
      <c r="C115" s="262">
        <f t="shared" ref="C115:T115" si="4">SUM(C2:C114)</f>
        <v>3133</v>
      </c>
      <c r="D115" s="262">
        <f t="shared" si="4"/>
        <v>3063</v>
      </c>
      <c r="E115" s="262">
        <f t="shared" si="4"/>
        <v>2734</v>
      </c>
      <c r="F115" s="262">
        <f t="shared" si="4"/>
        <v>2306</v>
      </c>
      <c r="G115" s="262">
        <f t="shared" si="4"/>
        <v>1975</v>
      </c>
      <c r="H115" s="262">
        <f t="shared" si="4"/>
        <v>1757</v>
      </c>
      <c r="I115" s="262">
        <f t="shared" si="4"/>
        <v>1949</v>
      </c>
      <c r="J115" s="262">
        <f t="shared" si="4"/>
        <v>2524</v>
      </c>
      <c r="K115" s="262">
        <f t="shared" si="4"/>
        <v>2175</v>
      </c>
      <c r="L115" s="262">
        <f t="shared" si="4"/>
        <v>2027</v>
      </c>
      <c r="M115" s="262">
        <f t="shared" si="4"/>
        <v>2189</v>
      </c>
      <c r="N115" s="262">
        <f t="shared" si="4"/>
        <v>1942</v>
      </c>
      <c r="O115" s="262">
        <f t="shared" si="4"/>
        <v>1624</v>
      </c>
      <c r="P115" s="262">
        <f t="shared" si="4"/>
        <v>1282</v>
      </c>
      <c r="Q115" s="262">
        <f t="shared" si="4"/>
        <v>565</v>
      </c>
      <c r="R115" s="262">
        <f t="shared" si="4"/>
        <v>250</v>
      </c>
      <c r="S115" s="262">
        <f t="shared" si="4"/>
        <v>2956</v>
      </c>
      <c r="T115" s="262">
        <f t="shared" si="4"/>
        <v>0</v>
      </c>
      <c r="U115" s="262">
        <f>U114+U113+U112+U111+U109+U107+U106+U105+U103+U102+U101+U100+U99+U98+U97+U96+U95+U94+U93+U92+U91+U90+U89+U88+U85+U84+U82+U81+U69+U68+U67+U66+U65+U64+U63+U60+U59+U57+U51+U50+U49+U48+U46+U44+U42+U41+U37+U36+U35+U34+U29+U25+U19+U17+U14+U13+U12+U11+U10+U3+U2</f>
        <v>37466</v>
      </c>
      <c r="W115" s="261">
        <f>SUM(W2:W114)</f>
        <v>46191</v>
      </c>
    </row>
  </sheetData>
  <conditionalFormatting sqref="Y2:Y114">
    <cfRule type="containsText" dxfId="0" priority="1" operator="containsText" text="Enrollment ceiling increase required">
      <formula>NOT(ISERROR(SEARCH("Enrollment ceiling increase required",Y2)))</formula>
    </cfRule>
  </conditionalFormatting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50">
        <v>408351.12</v>
      </c>
      <c r="C2" s="50">
        <v>698498.64</v>
      </c>
      <c r="D2" s="74"/>
    </row>
    <row r="3" spans="1:4">
      <c r="A3" s="5" t="s">
        <v>20</v>
      </c>
      <c r="B3" s="50">
        <v>463837.44</v>
      </c>
      <c r="C3" s="50">
        <v>826348</v>
      </c>
      <c r="D3" s="50">
        <v>867665.4</v>
      </c>
    </row>
    <row r="4" spans="1:4">
      <c r="A4" s="5" t="s">
        <v>1</v>
      </c>
      <c r="B4" s="75">
        <v>1811823.0345335689</v>
      </c>
      <c r="C4" s="75">
        <v>2518751.9545335686</v>
      </c>
      <c r="D4" s="75">
        <v>2554872.9545335686</v>
      </c>
    </row>
    <row r="5" spans="1:4">
      <c r="A5" s="7" t="s">
        <v>11</v>
      </c>
      <c r="B5" s="75"/>
      <c r="C5" s="75"/>
      <c r="D5" s="75"/>
    </row>
    <row r="6" spans="1:4">
      <c r="A6" s="7" t="s">
        <v>2</v>
      </c>
      <c r="B6" s="75"/>
      <c r="C6" s="75"/>
      <c r="D6" s="75"/>
    </row>
    <row r="7" spans="1:4">
      <c r="A7" s="7" t="s">
        <v>3</v>
      </c>
      <c r="B7" s="75">
        <v>96576.86</v>
      </c>
      <c r="C7" s="75">
        <v>97000</v>
      </c>
      <c r="D7" s="75">
        <v>100000</v>
      </c>
    </row>
    <row r="8" spans="1:4">
      <c r="A8" s="7" t="s">
        <v>22</v>
      </c>
      <c r="B8" s="75">
        <v>411433.39</v>
      </c>
      <c r="C8" s="75">
        <v>400000</v>
      </c>
      <c r="D8" s="75">
        <v>400000</v>
      </c>
    </row>
    <row r="9" spans="1:4">
      <c r="A9" s="7" t="s">
        <v>23</v>
      </c>
      <c r="B9" s="75"/>
      <c r="C9" s="75"/>
      <c r="D9" s="75"/>
    </row>
    <row r="10" spans="1:4">
      <c r="A10" s="7" t="s">
        <v>126</v>
      </c>
      <c r="B10" s="75">
        <v>151312.51</v>
      </c>
      <c r="C10" s="75"/>
      <c r="D10" s="75"/>
    </row>
    <row r="11" spans="1:4">
      <c r="A11" s="7" t="s">
        <v>5</v>
      </c>
      <c r="B11" s="75">
        <v>172466</v>
      </c>
      <c r="C11" s="75"/>
      <c r="D11" s="75"/>
    </row>
    <row r="12" spans="1:4">
      <c r="A12" s="7" t="s">
        <v>21</v>
      </c>
      <c r="B12" s="75"/>
      <c r="C12" s="75"/>
      <c r="D12" s="75"/>
    </row>
    <row r="13" spans="1:4">
      <c r="A13" s="7" t="s">
        <v>24</v>
      </c>
      <c r="B13" s="75"/>
      <c r="C13" s="75"/>
      <c r="D13" s="75"/>
    </row>
    <row r="14" spans="1:4">
      <c r="A14" s="7" t="s">
        <v>31</v>
      </c>
      <c r="B14" s="75">
        <v>573071.17500000016</v>
      </c>
      <c r="C14" s="75">
        <v>800000</v>
      </c>
      <c r="D14" s="75">
        <v>800000</v>
      </c>
    </row>
    <row r="15" spans="1:4">
      <c r="A15" s="3" t="s">
        <v>6</v>
      </c>
      <c r="B15" s="75">
        <v>4088871.5295335692</v>
      </c>
      <c r="C15" s="75">
        <v>5340598.5945335682</v>
      </c>
      <c r="D15" s="75">
        <v>4722538.354533568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7"/>
      <c r="C19" s="7"/>
      <c r="D19" s="7"/>
    </row>
    <row r="20" spans="1:4">
      <c r="A20" s="5" t="s">
        <v>20</v>
      </c>
      <c r="B20" s="7"/>
      <c r="C20" s="7"/>
      <c r="D20" s="7"/>
    </row>
    <row r="21" spans="1:4">
      <c r="A21" s="7" t="s">
        <v>2</v>
      </c>
      <c r="B21" s="7"/>
      <c r="C21" s="7"/>
      <c r="D21" s="7"/>
    </row>
    <row r="22" spans="1:4">
      <c r="A22" s="7" t="s">
        <v>3</v>
      </c>
      <c r="B22" s="7"/>
      <c r="C22" s="7"/>
      <c r="D22" s="7"/>
    </row>
    <row r="23" spans="1:4">
      <c r="A23" s="7" t="s">
        <v>25</v>
      </c>
      <c r="B23" s="7"/>
      <c r="C23" s="7"/>
      <c r="D23" s="7"/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7"/>
      <c r="C25" s="7"/>
      <c r="D25" s="7"/>
    </row>
    <row r="26" spans="1:4">
      <c r="A26" s="7" t="s">
        <v>9</v>
      </c>
      <c r="B26" s="7"/>
      <c r="C26" s="7"/>
      <c r="D26" s="7"/>
    </row>
    <row r="27" spans="1:4">
      <c r="A27" s="7" t="s">
        <v>10</v>
      </c>
      <c r="B27" s="7"/>
      <c r="C27" s="7"/>
      <c r="D27" s="7"/>
    </row>
    <row r="28" spans="1:4">
      <c r="A28" s="7" t="s">
        <v>26</v>
      </c>
      <c r="B28" s="7"/>
      <c r="C28" s="7"/>
      <c r="D28" s="7"/>
    </row>
    <row r="29" spans="1:4">
      <c r="A29" s="7" t="s">
        <v>31</v>
      </c>
      <c r="B29" s="7"/>
      <c r="C29" s="7"/>
      <c r="D29" s="7"/>
    </row>
    <row r="30" spans="1:4">
      <c r="A30" s="3" t="s">
        <v>12</v>
      </c>
      <c r="B30" s="7">
        <f>SUM(B19:B29)</f>
        <v>0</v>
      </c>
      <c r="C30" s="7">
        <f>SUM(C19:C29)</f>
        <v>0</v>
      </c>
      <c r="D30" s="7">
        <f>SUM(D19:D29)</f>
        <v>0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7">
        <f>B30+B15</f>
        <v>4088871.5295335692</v>
      </c>
      <c r="C33" s="7">
        <f>C30+C15</f>
        <v>5340598.5945335682</v>
      </c>
      <c r="D33" s="7">
        <f>D30+D15</f>
        <v>4722538.354533568</v>
      </c>
    </row>
    <row r="35" spans="1:4">
      <c r="A35" s="2" t="s">
        <v>14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D53"/>
  <sheetViews>
    <sheetView topLeftCell="A28" workbookViewId="0">
      <selection activeCell="B28" sqref="B28"/>
    </sheetView>
  </sheetViews>
  <sheetFormatPr baseColWidth="10" defaultColWidth="8.83203125" defaultRowHeight="12" x14ac:dyDescent="0"/>
  <cols>
    <col min="1" max="1" width="53.1640625" customWidth="1"/>
    <col min="2" max="2" width="15.5" bestFit="1" customWidth="1"/>
    <col min="3" max="3" width="14.1640625" customWidth="1"/>
    <col min="4" max="4" width="14.332031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37">
        <v>409148</v>
      </c>
      <c r="C2" s="37">
        <v>446353</v>
      </c>
      <c r="D2" s="37">
        <f>C2*0.95</f>
        <v>424035.35</v>
      </c>
    </row>
    <row r="3" spans="1:4">
      <c r="A3" s="5" t="s">
        <v>20</v>
      </c>
      <c r="B3" s="37">
        <v>226074</v>
      </c>
      <c r="C3" s="37">
        <v>234432</v>
      </c>
      <c r="D3" s="37">
        <f>C3*0.95</f>
        <v>222710.39999999999</v>
      </c>
    </row>
    <row r="4" spans="1:4">
      <c r="A4" s="5" t="s">
        <v>1</v>
      </c>
      <c r="B4" s="38">
        <v>1989655</v>
      </c>
      <c r="C4" s="37">
        <v>2197692</v>
      </c>
      <c r="D4" s="37">
        <f>(C4*1.025)-240490</f>
        <v>2012144.2999999998</v>
      </c>
    </row>
    <row r="5" spans="1:4">
      <c r="A5" s="7" t="s">
        <v>11</v>
      </c>
      <c r="B5" s="38"/>
      <c r="C5" s="37"/>
      <c r="D5" s="37"/>
    </row>
    <row r="6" spans="1:4">
      <c r="A6" s="7" t="s">
        <v>2</v>
      </c>
      <c r="B6" s="38"/>
      <c r="C6" s="37"/>
      <c r="D6" s="37"/>
    </row>
    <row r="7" spans="1:4">
      <c r="A7" s="7" t="s">
        <v>3</v>
      </c>
      <c r="B7" s="38">
        <v>23232</v>
      </c>
      <c r="C7" s="37">
        <f>B7*1.02</f>
        <v>23696.639999999999</v>
      </c>
      <c r="D7" s="37">
        <f>C7*0.95</f>
        <v>22511.807999999997</v>
      </c>
    </row>
    <row r="8" spans="1:4">
      <c r="A8" s="7" t="s">
        <v>22</v>
      </c>
      <c r="B8" s="38">
        <v>0</v>
      </c>
      <c r="C8" s="37">
        <v>0</v>
      </c>
      <c r="D8" s="37">
        <f>C8</f>
        <v>0</v>
      </c>
    </row>
    <row r="9" spans="1:4">
      <c r="A9" s="7" t="s">
        <v>23</v>
      </c>
      <c r="B9" s="38"/>
      <c r="C9" s="37"/>
      <c r="D9" s="37"/>
    </row>
    <row r="10" spans="1:4">
      <c r="A10" s="7" t="s">
        <v>4</v>
      </c>
      <c r="B10" s="38"/>
      <c r="C10" s="37"/>
      <c r="D10" s="37"/>
    </row>
    <row r="11" spans="1:4">
      <c r="A11" s="7" t="s">
        <v>5</v>
      </c>
      <c r="B11" s="38"/>
      <c r="C11" s="37"/>
      <c r="D11" s="37"/>
    </row>
    <row r="12" spans="1:4">
      <c r="A12" s="7" t="s">
        <v>21</v>
      </c>
      <c r="B12" s="38"/>
      <c r="C12" s="37"/>
      <c r="D12" s="37"/>
    </row>
    <row r="13" spans="1:4">
      <c r="A13" s="7" t="s">
        <v>24</v>
      </c>
      <c r="B13" s="38">
        <v>235119</v>
      </c>
      <c r="C13" s="37">
        <v>2127000</v>
      </c>
      <c r="D13" s="37">
        <v>180000</v>
      </c>
    </row>
    <row r="14" spans="1:4">
      <c r="A14" s="7" t="s">
        <v>31</v>
      </c>
      <c r="B14" s="38"/>
      <c r="C14" s="37"/>
      <c r="D14" s="37"/>
    </row>
    <row r="15" spans="1:4">
      <c r="A15" s="3" t="s">
        <v>6</v>
      </c>
      <c r="B15" s="38">
        <f>SUM(B2:B14)</f>
        <v>2883228</v>
      </c>
      <c r="C15" s="37">
        <f>SUM(C2:C14)</f>
        <v>5029173.6400000006</v>
      </c>
      <c r="D15" s="37">
        <f>SUM(D2:D14)</f>
        <v>2861401.858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7"/>
      <c r="C19" s="7"/>
      <c r="D19" s="7"/>
    </row>
    <row r="20" spans="1:4">
      <c r="A20" s="5" t="s">
        <v>20</v>
      </c>
      <c r="B20" s="7"/>
      <c r="C20" s="7"/>
      <c r="D20" s="7"/>
    </row>
    <row r="21" spans="1:4">
      <c r="A21" s="7" t="s">
        <v>2</v>
      </c>
      <c r="B21" s="7"/>
      <c r="C21" s="7"/>
      <c r="D21" s="7"/>
    </row>
    <row r="22" spans="1:4">
      <c r="A22" s="7" t="s">
        <v>3</v>
      </c>
      <c r="B22" s="7"/>
      <c r="C22" s="7"/>
      <c r="D22" s="7"/>
    </row>
    <row r="23" spans="1:4">
      <c r="A23" s="7" t="s">
        <v>25</v>
      </c>
      <c r="B23" s="7"/>
      <c r="C23" s="7"/>
      <c r="D23" s="7"/>
    </row>
    <row r="24" spans="1:4">
      <c r="A24" s="7" t="s">
        <v>8</v>
      </c>
      <c r="B24" s="7"/>
      <c r="C24" s="7"/>
      <c r="D24" s="7"/>
    </row>
    <row r="25" spans="1:4">
      <c r="A25" s="7" t="s">
        <v>4</v>
      </c>
      <c r="B25" s="7"/>
      <c r="C25" s="7"/>
      <c r="D25" s="7"/>
    </row>
    <row r="26" spans="1:4">
      <c r="A26" s="7" t="s">
        <v>9</v>
      </c>
      <c r="B26" s="7"/>
      <c r="C26" s="7"/>
      <c r="D26" s="7"/>
    </row>
    <row r="27" spans="1:4">
      <c r="A27" s="7" t="s">
        <v>10</v>
      </c>
      <c r="B27" s="7"/>
      <c r="C27" s="7"/>
      <c r="D27" s="7"/>
    </row>
    <row r="28" spans="1:4">
      <c r="A28" s="7" t="s">
        <v>26</v>
      </c>
      <c r="B28" s="7"/>
      <c r="C28" s="7"/>
      <c r="D28" s="7"/>
    </row>
    <row r="29" spans="1:4">
      <c r="A29" s="7" t="s">
        <v>31</v>
      </c>
      <c r="B29" s="7"/>
      <c r="C29" s="7"/>
      <c r="D29" s="7"/>
    </row>
    <row r="30" spans="1:4">
      <c r="A30" s="3" t="s">
        <v>12</v>
      </c>
      <c r="B30" s="7">
        <f>SUM(B19:B29)</f>
        <v>0</v>
      </c>
      <c r="C30" s="7">
        <f>SUM(C19:C29)</f>
        <v>0</v>
      </c>
      <c r="D30" s="7">
        <f>SUM(D19:D29)</f>
        <v>0</v>
      </c>
    </row>
    <row r="31" spans="1:4">
      <c r="A31" s="7"/>
      <c r="B31" s="7"/>
      <c r="C31" s="7"/>
      <c r="D31" s="7"/>
    </row>
    <row r="32" spans="1:4">
      <c r="A32" s="7"/>
      <c r="B32" s="7"/>
      <c r="C32" s="7"/>
      <c r="D32" s="7"/>
    </row>
    <row r="33" spans="1:4">
      <c r="A33" s="3" t="s">
        <v>13</v>
      </c>
      <c r="B33" s="39">
        <f>B30+B15</f>
        <v>2883228</v>
      </c>
      <c r="C33" s="39">
        <f>C30+C15</f>
        <v>5029173.6400000006</v>
      </c>
      <c r="D33" s="39">
        <f>D30+D15</f>
        <v>2861401.858</v>
      </c>
    </row>
    <row r="35" spans="1:4">
      <c r="A35" s="40" t="s">
        <v>40</v>
      </c>
      <c r="B35" s="41">
        <f>206308+4000</f>
        <v>210308</v>
      </c>
      <c r="C35" s="41">
        <f>206308+7500</f>
        <v>213808</v>
      </c>
      <c r="D35" s="41">
        <f>C35-18000</f>
        <v>195808</v>
      </c>
    </row>
    <row r="36" spans="1:4">
      <c r="A36" s="2"/>
      <c r="B36" s="35"/>
      <c r="C36" s="35"/>
      <c r="D36" s="35"/>
    </row>
    <row r="37" spans="1:4">
      <c r="A37" s="2" t="s">
        <v>14</v>
      </c>
      <c r="B37" s="41">
        <v>1461</v>
      </c>
      <c r="C37" s="41">
        <v>1221</v>
      </c>
      <c r="D37" s="41">
        <v>1380</v>
      </c>
    </row>
    <row r="39" spans="1:4">
      <c r="A39" s="1" t="s">
        <v>28</v>
      </c>
      <c r="B39" s="123">
        <f>B33/B37</f>
        <v>1973.4620123203285</v>
      </c>
      <c r="C39" s="123">
        <f>C33/C37</f>
        <v>4118.8973300573307</v>
      </c>
      <c r="D39" s="123">
        <f>D33/D37</f>
        <v>2073.4796072463769</v>
      </c>
    </row>
    <row r="41" spans="1:4">
      <c r="A41" s="1" t="s">
        <v>15</v>
      </c>
    </row>
    <row r="42" spans="1:4" hidden="1"/>
    <row r="43" spans="1:4" hidden="1"/>
    <row r="44" spans="1:4">
      <c r="A44" s="1" t="s">
        <v>27</v>
      </c>
      <c r="B44">
        <f>B35/B37</f>
        <v>143.94798083504449</v>
      </c>
      <c r="C44">
        <f>C35/C37</f>
        <v>175.10892710892711</v>
      </c>
      <c r="D44">
        <f>D35/D37</f>
        <v>141.88985507246377</v>
      </c>
    </row>
    <row r="45" spans="1:4">
      <c r="A45" t="s">
        <v>16</v>
      </c>
    </row>
    <row r="47" spans="1:4">
      <c r="A47" t="s">
        <v>17</v>
      </c>
      <c r="B47">
        <v>175</v>
      </c>
      <c r="C47">
        <v>175</v>
      </c>
      <c r="D47">
        <v>175</v>
      </c>
    </row>
    <row r="49" spans="1:4">
      <c r="A49" t="s">
        <v>18</v>
      </c>
    </row>
    <row r="51" spans="1:4">
      <c r="A51" s="1" t="s">
        <v>29</v>
      </c>
      <c r="B51" s="57">
        <f>B47/B44*B39</f>
        <v>2399.1712155505261</v>
      </c>
      <c r="C51" s="57">
        <f>C47/C44*C39</f>
        <v>4116.3351558407549</v>
      </c>
      <c r="D51" s="57">
        <f>D47/D44*D39</f>
        <v>2557.3282253534071</v>
      </c>
    </row>
    <row r="53" spans="1:4">
      <c r="A53" s="1" t="s">
        <v>30</v>
      </c>
      <c r="B53" s="57">
        <f>B51*B37</f>
        <v>3505189.1459193188</v>
      </c>
      <c r="C53" s="57">
        <f>C51*C37</f>
        <v>5026045.2252815617</v>
      </c>
      <c r="D53" s="57">
        <f>D51*D37</f>
        <v>3529112.9509877018</v>
      </c>
    </row>
  </sheetData>
  <phoneticPr fontId="4" type="noConversion"/>
  <printOptions gridLines="1"/>
  <pageMargins left="0.25" right="0.25" top="1.25" bottom="0.5" header="0.5" footer="0.5"/>
  <pageSetup orientation="portrait" blackAndWhite="1"/>
  <headerFooter alignWithMargins="0">
    <oddHeader xml:space="preserve">&amp;LCenter City PCS&amp;CDC PUBLIC CHARTER SCHOOL
FACILITY COST TEMPLATE&amp;RConsolidated
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10"/>
  </sheetPr>
  <dimension ref="A1:D51"/>
  <sheetViews>
    <sheetView topLeftCell="A16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style="45" customWidth="1"/>
    <col min="3" max="3" width="15.33203125" style="45" customWidth="1"/>
    <col min="4" max="4" width="16.1640625" style="45" customWidth="1"/>
  </cols>
  <sheetData>
    <row r="1" spans="1:4" ht="24">
      <c r="A1" s="3" t="s">
        <v>0</v>
      </c>
      <c r="B1" s="42" t="s">
        <v>34</v>
      </c>
      <c r="C1" s="42" t="s">
        <v>32</v>
      </c>
      <c r="D1" s="42" t="s">
        <v>33</v>
      </c>
    </row>
    <row r="2" spans="1:4">
      <c r="A2" s="5" t="s">
        <v>19</v>
      </c>
      <c r="B2" s="43">
        <v>53100</v>
      </c>
      <c r="C2" s="43">
        <v>47000</v>
      </c>
      <c r="D2" s="44">
        <v>47000</v>
      </c>
    </row>
    <row r="3" spans="1:4">
      <c r="A3" s="5" t="s">
        <v>20</v>
      </c>
      <c r="B3" s="43">
        <v>51199</v>
      </c>
      <c r="C3" s="43">
        <v>65729</v>
      </c>
      <c r="D3" s="44">
        <v>67000</v>
      </c>
    </row>
    <row r="4" spans="1:4">
      <c r="A4" s="5" t="s">
        <v>1</v>
      </c>
      <c r="B4" s="43">
        <v>71095</v>
      </c>
      <c r="C4" s="43">
        <v>67000</v>
      </c>
      <c r="D4" s="44">
        <v>72800</v>
      </c>
    </row>
    <row r="5" spans="1:4">
      <c r="A5" s="7" t="s">
        <v>11</v>
      </c>
      <c r="B5" s="43"/>
      <c r="C5" s="43"/>
      <c r="D5" s="44"/>
    </row>
    <row r="6" spans="1:4">
      <c r="A6" s="7" t="s">
        <v>2</v>
      </c>
      <c r="B6" s="43">
        <v>0</v>
      </c>
      <c r="C6" s="43">
        <v>0</v>
      </c>
      <c r="D6" s="44">
        <v>0</v>
      </c>
    </row>
    <row r="7" spans="1:4">
      <c r="A7" s="7" t="s">
        <v>3</v>
      </c>
      <c r="B7" s="43">
        <v>9000</v>
      </c>
      <c r="C7" s="43">
        <v>9000</v>
      </c>
      <c r="D7" s="44">
        <v>9000</v>
      </c>
    </row>
    <row r="8" spans="1:4">
      <c r="A8" s="7" t="s">
        <v>22</v>
      </c>
      <c r="B8" s="43"/>
      <c r="C8" s="43"/>
      <c r="D8" s="44"/>
    </row>
    <row r="9" spans="1:4">
      <c r="A9" s="7" t="s">
        <v>23</v>
      </c>
      <c r="B9" s="43"/>
      <c r="C9" s="43"/>
      <c r="D9" s="44"/>
    </row>
    <row r="10" spans="1:4">
      <c r="A10" s="7" t="s">
        <v>4</v>
      </c>
      <c r="B10" s="43">
        <v>0</v>
      </c>
      <c r="C10" s="43">
        <v>0</v>
      </c>
      <c r="D10" s="44">
        <v>0</v>
      </c>
    </row>
    <row r="11" spans="1:4">
      <c r="A11" s="7" t="s">
        <v>5</v>
      </c>
      <c r="B11" s="43">
        <v>0</v>
      </c>
      <c r="C11" s="43">
        <v>0</v>
      </c>
      <c r="D11" s="44">
        <v>0</v>
      </c>
    </row>
    <row r="12" spans="1:4">
      <c r="A12" s="7" t="s">
        <v>21</v>
      </c>
      <c r="B12" s="43">
        <v>0</v>
      </c>
      <c r="C12" s="43">
        <v>0</v>
      </c>
      <c r="D12" s="44">
        <v>0</v>
      </c>
    </row>
    <row r="13" spans="1:4">
      <c r="A13" s="7" t="s">
        <v>24</v>
      </c>
      <c r="B13" s="43">
        <v>21032</v>
      </c>
      <c r="C13" s="43">
        <v>21500</v>
      </c>
      <c r="D13" s="44">
        <v>75000</v>
      </c>
    </row>
    <row r="14" spans="1:4">
      <c r="A14" s="7" t="s">
        <v>31</v>
      </c>
      <c r="B14" s="43"/>
      <c r="C14" s="43"/>
      <c r="D14" s="44"/>
    </row>
    <row r="15" spans="1:4">
      <c r="A15" s="3" t="s">
        <v>6</v>
      </c>
      <c r="B15" s="43">
        <f>SUM(B2:B14)</f>
        <v>205426</v>
      </c>
      <c r="C15" s="43">
        <f>SUM(C2:C14)</f>
        <v>210229</v>
      </c>
      <c r="D15" s="44" t="s">
        <v>41</v>
      </c>
    </row>
    <row r="16" spans="1:4">
      <c r="A16" s="7"/>
      <c r="B16" s="43"/>
      <c r="C16" s="43"/>
      <c r="D16" s="44"/>
    </row>
    <row r="17" spans="1:4">
      <c r="A17" s="7"/>
      <c r="B17" s="43"/>
      <c r="C17" s="43"/>
      <c r="D17" s="43"/>
    </row>
    <row r="18" spans="1:4">
      <c r="A18" s="3" t="s">
        <v>7</v>
      </c>
      <c r="B18" s="43"/>
      <c r="C18" s="43"/>
      <c r="D18" s="43"/>
    </row>
    <row r="19" spans="1:4">
      <c r="A19" s="5" t="s">
        <v>19</v>
      </c>
      <c r="B19" s="43"/>
      <c r="C19" s="43"/>
      <c r="D19" s="43"/>
    </row>
    <row r="20" spans="1:4">
      <c r="A20" s="5" t="s">
        <v>20</v>
      </c>
      <c r="B20" s="43"/>
      <c r="C20" s="43"/>
      <c r="D20" s="43"/>
    </row>
    <row r="21" spans="1:4">
      <c r="A21" s="7" t="s">
        <v>2</v>
      </c>
      <c r="B21" s="43"/>
      <c r="C21" s="43"/>
      <c r="D21" s="43"/>
    </row>
    <row r="22" spans="1:4">
      <c r="A22" s="7" t="s">
        <v>3</v>
      </c>
      <c r="B22" s="43"/>
      <c r="C22" s="43"/>
      <c r="D22" s="43"/>
    </row>
    <row r="23" spans="1:4">
      <c r="A23" s="7" t="s">
        <v>25</v>
      </c>
      <c r="B23" s="43"/>
      <c r="C23" s="43"/>
      <c r="D23" s="43"/>
    </row>
    <row r="24" spans="1:4">
      <c r="A24" s="7" t="s">
        <v>8</v>
      </c>
      <c r="B24" s="43"/>
      <c r="C24" s="43"/>
      <c r="D24" s="43"/>
    </row>
    <row r="25" spans="1:4">
      <c r="A25" s="7" t="s">
        <v>4</v>
      </c>
      <c r="B25" s="43"/>
      <c r="C25" s="43"/>
      <c r="D25" s="43"/>
    </row>
    <row r="26" spans="1:4">
      <c r="A26" s="7" t="s">
        <v>9</v>
      </c>
      <c r="B26" s="43"/>
      <c r="C26" s="43"/>
      <c r="D26" s="43"/>
    </row>
    <row r="27" spans="1:4">
      <c r="A27" s="7" t="s">
        <v>10</v>
      </c>
      <c r="B27" s="43"/>
      <c r="C27" s="43"/>
      <c r="D27" s="43"/>
    </row>
    <row r="28" spans="1:4">
      <c r="A28" s="7" t="s">
        <v>26</v>
      </c>
      <c r="B28" s="43"/>
      <c r="C28" s="43"/>
      <c r="D28" s="43"/>
    </row>
    <row r="29" spans="1:4">
      <c r="A29" s="7" t="s">
        <v>31</v>
      </c>
      <c r="B29" s="43"/>
      <c r="C29" s="43"/>
      <c r="D29" s="43"/>
    </row>
    <row r="30" spans="1:4">
      <c r="A30" s="3" t="s">
        <v>12</v>
      </c>
      <c r="B30" s="43">
        <f>SUM(B19:B29)</f>
        <v>0</v>
      </c>
      <c r="C30" s="43">
        <f>SUM(C19:C29)</f>
        <v>0</v>
      </c>
      <c r="D30" s="43">
        <f>SUM(D19:D29)</f>
        <v>0</v>
      </c>
    </row>
    <row r="31" spans="1:4">
      <c r="A31" s="7"/>
      <c r="B31" s="43"/>
      <c r="C31" s="43"/>
      <c r="D31" s="43"/>
    </row>
    <row r="32" spans="1:4">
      <c r="A32" s="7"/>
      <c r="B32" s="43"/>
      <c r="C32" s="43"/>
      <c r="D32" s="43"/>
    </row>
    <row r="33" spans="1:4">
      <c r="A33" s="3" t="s">
        <v>13</v>
      </c>
      <c r="B33" s="43">
        <f>B30+B15</f>
        <v>205426</v>
      </c>
      <c r="C33" s="43">
        <f>C30+C15</f>
        <v>210229</v>
      </c>
      <c r="D33" s="43" t="s">
        <v>41</v>
      </c>
    </row>
    <row r="35" spans="1:4">
      <c r="A35" s="2" t="s">
        <v>14</v>
      </c>
    </row>
    <row r="37" spans="1:4">
      <c r="A37" s="1" t="s">
        <v>28</v>
      </c>
    </row>
    <row r="39" spans="1:4">
      <c r="A39" s="1" t="s">
        <v>15</v>
      </c>
    </row>
    <row r="40" spans="1:4" hidden="1"/>
    <row r="41" spans="1:4" hidden="1"/>
    <row r="42" spans="1:4">
      <c r="A42" s="1" t="s">
        <v>27</v>
      </c>
      <c r="B42" s="45" t="s">
        <v>35</v>
      </c>
    </row>
    <row r="43" spans="1:4">
      <c r="A43" t="s">
        <v>16</v>
      </c>
    </row>
    <row r="45" spans="1:4">
      <c r="A45" t="s">
        <v>17</v>
      </c>
    </row>
    <row r="47" spans="1:4">
      <c r="A47" t="s">
        <v>18</v>
      </c>
    </row>
    <row r="49" spans="1:1">
      <c r="A49" s="1" t="s">
        <v>29</v>
      </c>
    </row>
    <row r="51" spans="1:1">
      <c r="A51" s="1" t="s">
        <v>30</v>
      </c>
    </row>
  </sheetData>
  <phoneticPr fontId="4" type="noConversion"/>
  <printOptions gridLines="1"/>
  <pageMargins left="0.25" right="0.25" top="1.25" bottom="0.5" header="0.5" footer="0.5"/>
  <pageSetup scale="64" orientation="portrait" blackAndWhite="1"/>
  <headerFooter alignWithMargins="0">
    <oddHeader xml:space="preserve">&amp;LSCHOOL:CHILDREN'S STUDIO SCHOOL,  PCS&amp;CDC PUBLIC CHARTER SCHOOL
FACILITY COST TEMPLATE&amp;RSITE: 1301 V ST., NW 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D54"/>
  <sheetViews>
    <sheetView topLeftCell="A28" workbookViewId="0">
      <selection activeCell="B28" sqref="B28"/>
    </sheetView>
  </sheetViews>
  <sheetFormatPr baseColWidth="10" defaultColWidth="8.83203125" defaultRowHeight="12" x14ac:dyDescent="0"/>
  <cols>
    <col min="1" max="1" width="56.1640625" bestFit="1" customWidth="1"/>
    <col min="2" max="2" width="17.83203125" customWidth="1"/>
    <col min="3" max="3" width="15.33203125" customWidth="1"/>
    <col min="4" max="4" width="16.1640625" customWidth="1"/>
  </cols>
  <sheetData>
    <row r="1" spans="1:4" ht="24">
      <c r="A1" s="3" t="s">
        <v>0</v>
      </c>
      <c r="B1" s="4" t="s">
        <v>34</v>
      </c>
      <c r="C1" s="4" t="s">
        <v>32</v>
      </c>
      <c r="D1" s="4" t="s">
        <v>33</v>
      </c>
    </row>
    <row r="2" spans="1:4">
      <c r="A2" s="5" t="s">
        <v>19</v>
      </c>
      <c r="B2" s="37">
        <f>[3]EMC!B2+[3]EEC!B2+[3]BEC!B2</f>
        <v>0</v>
      </c>
      <c r="C2" s="37">
        <f>[3]EMC!C2+[3]EEC!C2+[3]BEC!C2</f>
        <v>0</v>
      </c>
      <c r="D2" s="37">
        <f>[3]EMC!D2+[3]EEC!D2+[3]BEC!D2</f>
        <v>0</v>
      </c>
    </row>
    <row r="3" spans="1:4">
      <c r="A3" s="5" t="s">
        <v>20</v>
      </c>
      <c r="B3" s="37">
        <f>[3]EMC!B3+[3]EEC!B3+[3]BEC!B3</f>
        <v>32</v>
      </c>
      <c r="C3" s="37">
        <f>[3]EMC!C3+[3]EEC!C3+[3]BEC!C3</f>
        <v>0</v>
      </c>
      <c r="D3" s="37">
        <f>[3]EMC!D3+[3]EEC!D3+[3]BEC!D3</f>
        <v>0</v>
      </c>
    </row>
    <row r="4" spans="1:4">
      <c r="A4" s="5" t="s">
        <v>1</v>
      </c>
      <c r="B4" s="37">
        <f>[3]EMC!B4+[3]EEC!B4+[3]BEC!B4</f>
        <v>252398</v>
      </c>
      <c r="C4" s="37">
        <f>[3]EMC!C4+[3]EEC!C4+[3]BEC!C4</f>
        <v>481288.03</v>
      </c>
      <c r="D4" s="37">
        <f>[3]EMC!D4+[3]EEC!D4+[3]BEC!D4</f>
        <v>648197.67090000003</v>
      </c>
    </row>
    <row r="5" spans="1:4">
      <c r="A5" s="7" t="s">
        <v>11</v>
      </c>
      <c r="B5" s="37">
        <f>[3]EMC!B5+[3]EEC!B5+[3]BEC!B5</f>
        <v>0</v>
      </c>
      <c r="C5" s="37">
        <f>[3]EMC!C5+[3]EEC!C5+[3]BEC!C5</f>
        <v>0</v>
      </c>
      <c r="D5" s="37">
        <f>[3]EMC!D5+[3]EEC!D5+[3]BEC!D5</f>
        <v>0</v>
      </c>
    </row>
    <row r="6" spans="1:4">
      <c r="A6" s="7" t="s">
        <v>2</v>
      </c>
      <c r="B6" s="37">
        <f>[3]EMC!B6+[3]EEC!B6+[3]BEC!B6</f>
        <v>0</v>
      </c>
      <c r="C6" s="37">
        <f>[3]EMC!C6+[3]EEC!C6+[3]BEC!C6</f>
        <v>0</v>
      </c>
      <c r="D6" s="37">
        <f>[3]EMC!D6+[3]EEC!D6+[3]BEC!D6</f>
        <v>0</v>
      </c>
    </row>
    <row r="7" spans="1:4">
      <c r="A7" s="7" t="s">
        <v>3</v>
      </c>
      <c r="B7" s="37">
        <f>[3]EMC!B7+[3]EEC!B7+[3]BEC!B7</f>
        <v>0</v>
      </c>
      <c r="C7" s="37">
        <f>[3]EMC!C7+[3]EEC!C7+[3]BEC!C7</f>
        <v>0</v>
      </c>
      <c r="D7" s="37">
        <f>[3]EMC!D7+[3]EEC!D7+[3]BEC!D7</f>
        <v>0</v>
      </c>
    </row>
    <row r="8" spans="1:4">
      <c r="A8" s="7" t="s">
        <v>22</v>
      </c>
      <c r="B8" s="37">
        <f>[3]EMC!B8+[3]EEC!B8+[3]BEC!B8</f>
        <v>2141</v>
      </c>
      <c r="C8" s="37">
        <f>[3]EMC!C8+[3]EEC!C8+[3]BEC!C8</f>
        <v>6798</v>
      </c>
      <c r="D8" s="37">
        <f>[3]EMC!D8+[3]EEC!D8+[3]BEC!D8</f>
        <v>9350</v>
      </c>
    </row>
    <row r="9" spans="1:4">
      <c r="A9" s="7" t="s">
        <v>23</v>
      </c>
      <c r="B9" s="37">
        <f>[3]EMC!B9+[3]EEC!B9+[3]BEC!B9</f>
        <v>0</v>
      </c>
      <c r="C9" s="37">
        <f>[3]EMC!C9+[3]EEC!C9+[3]BEC!C9</f>
        <v>0</v>
      </c>
      <c r="D9" s="37">
        <f>[3]EMC!D9+[3]EEC!D9+[3]BEC!D9</f>
        <v>0</v>
      </c>
    </row>
    <row r="10" spans="1:4">
      <c r="A10" s="7" t="s">
        <v>4</v>
      </c>
      <c r="B10" s="37">
        <f>[3]EMC!B10+[3]EEC!B10+[3]BEC!B10</f>
        <v>0</v>
      </c>
      <c r="C10" s="37">
        <f>[3]EMC!C10+[3]EEC!C10+[3]BEC!C10</f>
        <v>0</v>
      </c>
      <c r="D10" s="37">
        <f>[3]EMC!D10+[3]EEC!D10+[3]BEC!D10</f>
        <v>0</v>
      </c>
    </row>
    <row r="11" spans="1:4">
      <c r="A11" s="7" t="s">
        <v>5</v>
      </c>
      <c r="B11" s="37">
        <f>[3]EMC!B11+[3]EEC!B11+[3]BEC!B11</f>
        <v>0</v>
      </c>
      <c r="C11" s="37">
        <f>[3]EMC!C11+[3]EEC!C11+[3]BEC!C11</f>
        <v>0</v>
      </c>
      <c r="D11" s="37">
        <f>[3]EMC!D11+[3]EEC!D11+[3]BEC!D11</f>
        <v>0</v>
      </c>
    </row>
    <row r="12" spans="1:4">
      <c r="A12" s="7" t="s">
        <v>21</v>
      </c>
      <c r="B12" s="37">
        <f>[3]EMC!B12+[3]EEC!B12+[3]BEC!B12</f>
        <v>0</v>
      </c>
      <c r="C12" s="37">
        <f>[3]EMC!C12+[3]EEC!C12+[3]BEC!C12</f>
        <v>0</v>
      </c>
      <c r="D12" s="37">
        <f>[3]EMC!D12+[3]EEC!D12+[3]BEC!D12</f>
        <v>0</v>
      </c>
    </row>
    <row r="13" spans="1:4">
      <c r="A13" s="7" t="s">
        <v>24</v>
      </c>
      <c r="B13" s="37">
        <f>[3]EMC!B13+[3]EEC!B13+[3]BEC!B13</f>
        <v>0</v>
      </c>
      <c r="C13" s="37">
        <f>[3]EMC!C13+[3]EEC!C13+[3]BEC!C13</f>
        <v>0</v>
      </c>
      <c r="D13" s="37">
        <f>[3]EMC!D13+[3]EEC!D13+[3]BEC!D13</f>
        <v>0</v>
      </c>
    </row>
    <row r="14" spans="1:4">
      <c r="A14" s="7" t="s">
        <v>31</v>
      </c>
      <c r="B14" s="37">
        <f>[3]EMC!B14+[3]EEC!B14+[3]BEC!B14</f>
        <v>0</v>
      </c>
      <c r="C14" s="37">
        <f>[3]EMC!C14+[3]EEC!C14+[3]BEC!C14</f>
        <v>0</v>
      </c>
      <c r="D14" s="37">
        <f>[3]EMC!D14+[3]EEC!D14+[3]BEC!D14</f>
        <v>0</v>
      </c>
    </row>
    <row r="15" spans="1:4">
      <c r="A15" s="3" t="s">
        <v>6</v>
      </c>
      <c r="B15" s="39">
        <f>SUM(B2:B14)</f>
        <v>254571</v>
      </c>
      <c r="C15" s="39">
        <f>SUM(C2:C14)</f>
        <v>488086.03</v>
      </c>
      <c r="D15" s="39">
        <f>SUM(D2:D14)</f>
        <v>657547.67090000003</v>
      </c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3" t="s">
        <v>7</v>
      </c>
      <c r="B18" s="7"/>
      <c r="C18" s="7"/>
      <c r="D18" s="7"/>
    </row>
    <row r="19" spans="1:4">
      <c r="A19" s="5" t="s">
        <v>19</v>
      </c>
      <c r="B19" s="37">
        <f>[3]EMC!B19+[3]EEC!B19+[3]BEC!B19</f>
        <v>230555</v>
      </c>
      <c r="C19" s="37">
        <f>[3]EMC!C19+[3]EEC!C19+[3]BEC!C19</f>
        <v>247000</v>
      </c>
      <c r="D19" s="37">
        <f>[3]EMC!D19+[3]EEC!D19+[3]BEC!D19</f>
        <v>254410</v>
      </c>
    </row>
    <row r="20" spans="1:4">
      <c r="A20" s="5" t="s">
        <v>20</v>
      </c>
      <c r="B20" s="37">
        <f>[3]EMC!B20+[3]EEC!B20+[3]BEC!B20</f>
        <v>496684</v>
      </c>
      <c r="C20" s="37">
        <f>[3]EMC!C20+[3]EEC!C20+[3]BEC!C20</f>
        <v>377692</v>
      </c>
      <c r="D20" s="37">
        <f>[3]EMC!D20+[3]EEC!D20+[3]BEC!D20</f>
        <v>389022.76</v>
      </c>
    </row>
    <row r="21" spans="1:4">
      <c r="A21" s="7" t="s">
        <v>2</v>
      </c>
      <c r="B21" s="37">
        <f>[3]EMC!B21+[3]EEC!B21+[3]BEC!B21</f>
        <v>0</v>
      </c>
      <c r="C21" s="37">
        <f>[3]EMC!C21+[3]EEC!C21+[3]BEC!C21</f>
        <v>0</v>
      </c>
      <c r="D21" s="37">
        <f>[3]EMC!D21+[3]EEC!D21+[3]BEC!D21</f>
        <v>0</v>
      </c>
    </row>
    <row r="22" spans="1:4">
      <c r="A22" s="7" t="s">
        <v>3</v>
      </c>
      <c r="B22" s="37">
        <f>[3]EMC!B22+[3]EEC!B22+[3]BEC!B22</f>
        <v>18233</v>
      </c>
      <c r="C22" s="37">
        <f>[3]EMC!C22+[3]EEC!C22+[3]BEC!C22</f>
        <v>18780.32</v>
      </c>
      <c r="D22" s="37">
        <f>[3]EMC!D22+[3]EEC!D22+[3]BEC!D22</f>
        <v>19343.729599999999</v>
      </c>
    </row>
    <row r="23" spans="1:4">
      <c r="A23" s="7" t="s">
        <v>25</v>
      </c>
      <c r="B23" s="37">
        <f>[3]EMC!B23+[3]EEC!B23+[3]BEC!B23</f>
        <v>527595</v>
      </c>
      <c r="C23" s="37">
        <f>[3]EMC!C23+[3]EEC!C23+[3]BEC!C23</f>
        <v>512571</v>
      </c>
      <c r="D23" s="37">
        <f>[3]EMC!D23+[3]EEC!D23+[3]BEC!D23</f>
        <v>504989</v>
      </c>
    </row>
    <row r="24" spans="1:4">
      <c r="A24" s="7" t="s">
        <v>8</v>
      </c>
      <c r="B24" s="37">
        <f>[3]EMC!B24+[3]EEC!B24+[3]BEC!B24</f>
        <v>0</v>
      </c>
      <c r="C24" s="37">
        <f>[3]EMC!C24+[3]EEC!C24+[3]BEC!C24</f>
        <v>0</v>
      </c>
      <c r="D24" s="37">
        <f>[3]EMC!D24+[3]EEC!D24+[3]BEC!D24</f>
        <v>0</v>
      </c>
    </row>
    <row r="25" spans="1:4">
      <c r="A25" s="7" t="s">
        <v>4</v>
      </c>
      <c r="B25" s="37">
        <f>[3]EMC!B25+[3]EEC!B25+[3]BEC!B25</f>
        <v>464878.25</v>
      </c>
      <c r="C25" s="37">
        <f>[3]EMC!C25+[3]EEC!C25+[3]BEC!C25</f>
        <v>401064.5625</v>
      </c>
      <c r="D25" s="37">
        <f>[3]EMC!D25+[3]EEC!D25+[3]BEC!D25</f>
        <v>460042.16666666669</v>
      </c>
    </row>
    <row r="26" spans="1:4">
      <c r="A26" s="7" t="s">
        <v>9</v>
      </c>
      <c r="B26" s="37">
        <f>[3]EMC!B26+[3]EEC!B26+[3]BEC!B26</f>
        <v>314662.34999999998</v>
      </c>
      <c r="C26" s="37">
        <f>[3]EMC!C26+[3]EEC!C26+[3]BEC!C26</f>
        <v>402901.7466666667</v>
      </c>
      <c r="D26" s="37">
        <f>[3]EMC!D26+[3]EEC!D26+[3]BEC!D26</f>
        <v>419973.16000000003</v>
      </c>
    </row>
    <row r="27" spans="1:4">
      <c r="A27" s="7" t="s">
        <v>10</v>
      </c>
      <c r="B27" s="37">
        <f>[3]EMC!B27+[3]EEC!B27+[3]BEC!B27</f>
        <v>218401.75</v>
      </c>
      <c r="C27" s="37">
        <f>[3]EMC!C27+[3]EEC!C27+[3]BEC!C27</f>
        <v>237433.15999999997</v>
      </c>
      <c r="D27" s="37">
        <f>[3]EMC!D27+[3]EEC!D27+[3]BEC!D27</f>
        <v>237433.15999999997</v>
      </c>
    </row>
    <row r="28" spans="1:4">
      <c r="A28" s="7" t="s">
        <v>26</v>
      </c>
      <c r="B28" s="37">
        <f>[3]EMC!B28+[3]EEC!B28+[3]BEC!B28</f>
        <v>0</v>
      </c>
      <c r="C28" s="37">
        <f>[3]EMC!C28+[3]EEC!C28+[3]BEC!C28</f>
        <v>0</v>
      </c>
      <c r="D28" s="37">
        <f>[3]EMC!D28+[3]EEC!D28+[3]BEC!D28</f>
        <v>0</v>
      </c>
    </row>
    <row r="29" spans="1:4">
      <c r="A29" s="7" t="s">
        <v>31</v>
      </c>
      <c r="B29" s="37">
        <f>[3]EMC!B29+[3]EEC!B29+[3]BEC!B29</f>
        <v>0</v>
      </c>
      <c r="C29" s="37">
        <f>[3]EMC!C29+[3]EEC!C29+[3]BEC!C29</f>
        <v>0</v>
      </c>
      <c r="D29" s="37">
        <f>[3]EMC!D29+[3]EEC!D29+[3]BEC!D29</f>
        <v>0</v>
      </c>
    </row>
    <row r="30" spans="1:4">
      <c r="A30" s="3" t="s">
        <v>12</v>
      </c>
      <c r="B30" s="39">
        <f>SUM(B19:B29)</f>
        <v>2271009.35</v>
      </c>
      <c r="C30" s="39">
        <f>SUM(C19:C29)</f>
        <v>2197442.7891666666</v>
      </c>
      <c r="D30" s="39">
        <f>SUM(D19:D29)</f>
        <v>2285213.9762666668</v>
      </c>
    </row>
    <row r="31" spans="1:4">
      <c r="A31" s="7"/>
      <c r="B31" s="39"/>
      <c r="C31" s="39"/>
      <c r="D31" s="39"/>
    </row>
    <row r="32" spans="1:4">
      <c r="A32" s="7"/>
      <c r="B32" s="39"/>
      <c r="C32" s="39"/>
      <c r="D32" s="39"/>
    </row>
    <row r="33" spans="1:4">
      <c r="A33" s="3" t="s">
        <v>13</v>
      </c>
      <c r="B33" s="39">
        <f>B30+B15</f>
        <v>2525580.35</v>
      </c>
      <c r="C33" s="39">
        <f>C30+C15</f>
        <v>2685528.8191666668</v>
      </c>
      <c r="D33" s="39">
        <f>D30+D15</f>
        <v>2942761.6471666666</v>
      </c>
    </row>
    <row r="35" spans="1:4">
      <c r="A35" s="2" t="s">
        <v>14</v>
      </c>
      <c r="B35">
        <f>[3]EMC!B35+[3]EEC!B35+[3]BEC!B35</f>
        <v>738</v>
      </c>
      <c r="C35">
        <f>[3]EMC!C35+[3]EEC!C35+[3]BEC!C35</f>
        <v>850</v>
      </c>
      <c r="D35">
        <f>[3]EMC!D35+[3]EEC!D35+[3]BEC!D35</f>
        <v>916</v>
      </c>
    </row>
    <row r="37" spans="1:4">
      <c r="A37" t="s">
        <v>37</v>
      </c>
      <c r="B37" s="35">
        <f>[3]EMC!B37+[3]EEC!B37+[3]BEC!B37</f>
        <v>116354</v>
      </c>
      <c r="C37" s="35">
        <f>[3]EMC!C37+[3]EEC!C37+[3]BEC!C37</f>
        <v>116354</v>
      </c>
      <c r="D37" s="35">
        <f>[3]EMC!D37+[3]EEC!D37+[3]BEC!D37</f>
        <v>116354</v>
      </c>
    </row>
    <row r="38" spans="1:4">
      <c r="A38" t="s">
        <v>42</v>
      </c>
      <c r="B38" s="46">
        <f>B33/B37</f>
        <v>21.706003661240697</v>
      </c>
      <c r="C38" s="46">
        <f>C33/C37</f>
        <v>23.080674658083666</v>
      </c>
      <c r="D38" s="46">
        <f>D33/D37</f>
        <v>25.291452353736585</v>
      </c>
    </row>
    <row r="40" spans="1:4">
      <c r="A40" s="1" t="s">
        <v>28</v>
      </c>
      <c r="B40" s="36">
        <f>B33/B35</f>
        <v>3422.1955962059624</v>
      </c>
      <c r="C40" s="36">
        <f>C33/C35</f>
        <v>3159.4456696078432</v>
      </c>
      <c r="D40" s="36">
        <f>D33/D35</f>
        <v>3212.6218855531292</v>
      </c>
    </row>
    <row r="42" spans="1:4">
      <c r="A42" s="1" t="s">
        <v>15</v>
      </c>
      <c r="B42">
        <f>AVERAGE(140,190)</f>
        <v>165</v>
      </c>
      <c r="C42">
        <f>AVERAGE(140,190)</f>
        <v>165</v>
      </c>
      <c r="D42">
        <f>AVERAGE(140,190)</f>
        <v>165</v>
      </c>
    </row>
    <row r="43" spans="1:4" hidden="1"/>
    <row r="44" spans="1:4" hidden="1"/>
    <row r="45" spans="1:4">
      <c r="A45" s="1" t="s">
        <v>27</v>
      </c>
      <c r="B45" s="36">
        <f>B40*(B42/B50)</f>
        <v>3581.4906041047147</v>
      </c>
      <c r="C45" s="36">
        <f>C40*(C42/C50)</f>
        <v>3808.3113185838051</v>
      </c>
      <c r="D45" s="36">
        <f>D40*(D42/D50)</f>
        <v>4173.0896383665358</v>
      </c>
    </row>
    <row r="46" spans="1:4">
      <c r="A46" t="s">
        <v>16</v>
      </c>
      <c r="B46" s="36"/>
      <c r="C46" s="36"/>
      <c r="D46" s="36"/>
    </row>
    <row r="48" spans="1:4">
      <c r="A48" t="s">
        <v>17</v>
      </c>
    </row>
    <row r="50" spans="1:4">
      <c r="A50" t="s">
        <v>18</v>
      </c>
      <c r="B50" s="35">
        <f>B37/B35</f>
        <v>157.66124661246613</v>
      </c>
      <c r="C50" s="35">
        <f>C37/C35</f>
        <v>136.8870588235294</v>
      </c>
      <c r="D50" s="35">
        <f>D37/D35</f>
        <v>127.02401746724891</v>
      </c>
    </row>
    <row r="52" spans="1:4">
      <c r="A52" s="1" t="s">
        <v>29</v>
      </c>
      <c r="B52" s="36">
        <f>B40*(B42/B50)</f>
        <v>3581.4906041047147</v>
      </c>
      <c r="C52" s="36">
        <f>C40*(C42/C50)</f>
        <v>3808.3113185838051</v>
      </c>
      <c r="D52" s="36">
        <f>D40*(D42/D50)</f>
        <v>4173.0896383665358</v>
      </c>
    </row>
    <row r="53" spans="1:4">
      <c r="B53" s="36"/>
      <c r="C53" s="36"/>
      <c r="D53" s="36"/>
    </row>
    <row r="54" spans="1:4">
      <c r="A54" s="1" t="s">
        <v>30</v>
      </c>
      <c r="B54" s="36">
        <f>B33*(B42/B50)</f>
        <v>2643140.0658292794</v>
      </c>
      <c r="C54" s="36">
        <f>C33*(C42/C50)</f>
        <v>3237064.6207962343</v>
      </c>
      <c r="D54" s="36">
        <f>D33*(D42/D50)</f>
        <v>3822550.1087437472</v>
      </c>
    </row>
  </sheetData>
  <phoneticPr fontId="4" type="noConversion"/>
  <printOptions gridLines="1"/>
  <pageMargins left="0.25" right="0.25" top="1.25" bottom="0.5" header="0.5" footer="0.5"/>
  <pageSetup scale="97" orientation="portrait" blackAndWhite="1"/>
  <headerFooter alignWithMargins="0">
    <oddHeader>&amp;LSCHOOL:_________________&amp;CDC PUBLIC CHARTER SCHOOL
FACILITY COST TEMPLATE&amp;RSITE: _____________________</oddHeader>
    <oddFooter>&amp;LPCSB&amp;R&amp;D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ATA</vt:lpstr>
      <vt:lpstr>Bridges</vt:lpstr>
      <vt:lpstr>Capital</vt:lpstr>
      <vt:lpstr>Community</vt:lpstr>
      <vt:lpstr>Carlos</vt:lpstr>
      <vt:lpstr>Chavez</vt:lpstr>
      <vt:lpstr>Center</vt:lpstr>
      <vt:lpstr>Child</vt:lpstr>
      <vt:lpstr>DCPrep</vt:lpstr>
      <vt:lpstr>Eagle</vt:lpstr>
      <vt:lpstr>ELH</vt:lpstr>
      <vt:lpstr>ESF</vt:lpstr>
      <vt:lpstr>EWS</vt:lpstr>
      <vt:lpstr>Friendship</vt:lpstr>
      <vt:lpstr>Hope</vt:lpstr>
      <vt:lpstr>Hospitality</vt:lpstr>
      <vt:lpstr>HRA</vt:lpstr>
      <vt:lpstr>Hyde</vt:lpstr>
      <vt:lpstr>IDEA</vt:lpstr>
      <vt:lpstr>Ideal</vt:lpstr>
      <vt:lpstr>Kamit</vt:lpstr>
      <vt:lpstr>KIPP</vt:lpstr>
      <vt:lpstr>LAMB</vt:lpstr>
      <vt:lpstr>LAYC</vt:lpstr>
      <vt:lpstr>Maya</vt:lpstr>
      <vt:lpstr>Meridian</vt:lpstr>
      <vt:lpstr>NCP</vt:lpstr>
      <vt:lpstr>Next</vt:lpstr>
      <vt:lpstr>Options</vt:lpstr>
      <vt:lpstr>Paul</vt:lpstr>
      <vt:lpstr>Potomac</vt:lpstr>
      <vt:lpstr>SEED</vt:lpstr>
      <vt:lpstr>Septima</vt:lpstr>
      <vt:lpstr>SColetta</vt:lpstr>
      <vt:lpstr>Thea</vt:lpstr>
      <vt:lpstr>TMA</vt:lpstr>
      <vt:lpstr>TOL</vt:lpstr>
      <vt:lpstr>2Rivers</vt:lpstr>
      <vt:lpstr>WMST</vt:lpstr>
      <vt:lpstr>WYY</vt:lpstr>
      <vt:lpstr>YAW</vt:lpstr>
      <vt:lpstr>Youth</vt:lpstr>
      <vt:lpstr>Budgeted 2011</vt:lpstr>
      <vt:lpstr>PCS Facilities Exp - Act FY12 </vt:lpstr>
      <vt:lpstr>Budgeted 2013</vt:lpstr>
      <vt:lpstr>Sheet1</vt:lpstr>
      <vt:lpstr>Exhibit A1-FY12</vt:lpstr>
      <vt:lpstr>Exhibit A2-FY12</vt:lpstr>
      <vt:lpstr>Exhibit A3-FY12</vt:lpstr>
      <vt:lpstr>PCS Facilities Exp - Proj FY14</vt:lpstr>
      <vt:lpstr>Exhibit A1-FY14</vt:lpstr>
      <vt:lpstr>Exhibit A2-FY14</vt:lpstr>
      <vt:lpstr>Exhibit A3-FY14</vt:lpstr>
      <vt:lpstr>Lease vs Owned 2014</vt:lpstr>
      <vt:lpstr>FY14 Projections by grd (PCS)</vt:lpstr>
      <vt:lpstr>FY14 vs. ceiling by LEA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TNida</dc:creator>
  <cp:lastModifiedBy>Theola Labbe-Debose</cp:lastModifiedBy>
  <cp:lastPrinted>2013-04-08T22:58:15Z</cp:lastPrinted>
  <dcterms:created xsi:type="dcterms:W3CDTF">2009-03-10T16:23:05Z</dcterms:created>
  <dcterms:modified xsi:type="dcterms:W3CDTF">2013-04-08T23:01:18Z</dcterms:modified>
</cp:coreProperties>
</file>